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nioanselmo/Library/Mobile Documents/com~apple~CloudDocs/Aviadores Luciano/Cirrus G6 Controller/"/>
    </mc:Choice>
  </mc:AlternateContent>
  <xr:revisionPtr revIDLastSave="0" documentId="13_ncr:1_{D99EE37B-4FF5-7E4E-AC0D-8C7575231839}" xr6:coauthVersionLast="47" xr6:coauthVersionMax="47" xr10:uidLastSave="{00000000-0000-0000-0000-000000000000}"/>
  <bookViews>
    <workbookView xWindow="0" yWindow="1180" windowWidth="28800" windowHeight="15720" xr2:uid="{F51C2B2A-DE15-49CC-A9D6-B0EBB401BFCA}"/>
  </bookViews>
  <sheets>
    <sheet name="COMEXPORT" sheetId="4" r:id="rId1"/>
    <sheet name="COMEXPORT SEM PIS-COFINS" sheetId="5" state="hidden" r:id="rId2"/>
  </sheets>
  <calcPr calcId="191028" iterate="1" iterateDelta="99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4" l="1"/>
  <c r="J52" i="4"/>
  <c r="J41" i="4"/>
  <c r="J43" i="4"/>
  <c r="J42" i="4"/>
  <c r="I23" i="4"/>
  <c r="D63" i="4"/>
  <c r="J46" i="4"/>
  <c r="H32" i="4"/>
  <c r="H33" i="4"/>
  <c r="I22" i="4"/>
  <c r="H85" i="4"/>
  <c r="H84" i="4"/>
  <c r="H63" i="4"/>
  <c r="I51" i="4"/>
  <c r="I50" i="4"/>
  <c r="I49" i="4"/>
  <c r="I48" i="4"/>
  <c r="I47" i="4"/>
  <c r="J40" i="4"/>
  <c r="J75" i="5"/>
  <c r="J65" i="5"/>
  <c r="G65" i="5"/>
  <c r="H65" i="5"/>
  <c r="G64" i="5"/>
  <c r="H64" i="5"/>
  <c r="G63" i="5"/>
  <c r="H63" i="5"/>
  <c r="H62" i="5"/>
  <c r="D62" i="5"/>
  <c r="I62" i="5"/>
  <c r="J53" i="5"/>
  <c r="I52" i="5"/>
  <c r="I51" i="5"/>
  <c r="I50" i="5"/>
  <c r="I49" i="5"/>
  <c r="I48" i="5"/>
  <c r="J47" i="5"/>
  <c r="I47" i="5"/>
  <c r="I46" i="5"/>
  <c r="J45" i="5"/>
  <c r="I45" i="5"/>
  <c r="I44" i="5"/>
  <c r="I43" i="5"/>
  <c r="J42" i="5"/>
  <c r="I41" i="5"/>
  <c r="I54" i="5"/>
  <c r="J40" i="5"/>
  <c r="J54" i="5"/>
  <c r="J23" i="5"/>
  <c r="I22" i="5"/>
  <c r="J22" i="5"/>
  <c r="I21" i="5"/>
  <c r="J53" i="4"/>
  <c r="J62" i="5"/>
  <c r="I24" i="5"/>
  <c r="J21" i="5"/>
  <c r="J24" i="5"/>
  <c r="H62" i="4"/>
  <c r="J66" i="4"/>
  <c r="G66" i="4"/>
  <c r="H66" i="4" s="1"/>
  <c r="G65" i="4"/>
  <c r="H65" i="4" s="1"/>
  <c r="G64" i="4"/>
  <c r="H64" i="4" s="1"/>
  <c r="I21" i="4"/>
  <c r="J21" i="4" s="1"/>
  <c r="I32" i="5"/>
  <c r="J32" i="5"/>
  <c r="I33" i="5"/>
  <c r="J33" i="5"/>
  <c r="J30" i="5"/>
  <c r="J31" i="5"/>
  <c r="J34" i="5"/>
  <c r="I30" i="5"/>
  <c r="J73" i="5"/>
  <c r="I31" i="5"/>
  <c r="I73" i="5"/>
  <c r="I34" i="5"/>
  <c r="I63" i="5"/>
  <c r="J63" i="5"/>
  <c r="I54" i="4" l="1"/>
  <c r="J22" i="4"/>
  <c r="J24" i="4" s="1"/>
  <c r="J30" i="4" s="1"/>
  <c r="I63" i="4"/>
  <c r="J63" i="4" s="1"/>
  <c r="I62" i="4"/>
  <c r="J62" i="4" s="1"/>
  <c r="I24" i="4"/>
  <c r="I33" i="4" s="1"/>
  <c r="J33" i="4" s="1"/>
  <c r="I32" i="4" l="1"/>
  <c r="J32" i="4" s="1"/>
  <c r="J31" i="4"/>
  <c r="J74" i="4" s="1"/>
  <c r="I30" i="4"/>
  <c r="I31" i="4" l="1"/>
  <c r="I74" i="4" s="1"/>
  <c r="J34" i="4"/>
  <c r="I34" i="4" l="1"/>
  <c r="I64" i="4" s="1"/>
  <c r="J64" i="4" s="1"/>
  <c r="J54" i="4"/>
  <c r="J76" i="4"/>
  <c r="I65" i="4"/>
  <c r="J65" i="4"/>
  <c r="I67" i="4"/>
  <c r="J67" i="4"/>
  <c r="I73" i="4"/>
  <c r="J73" i="4"/>
  <c r="I75" i="4"/>
  <c r="J75" i="4"/>
  <c r="I77" i="4"/>
  <c r="J77" i="4"/>
  <c r="I83" i="4"/>
  <c r="J83" i="4"/>
  <c r="F84" i="4"/>
  <c r="I84" i="4"/>
  <c r="J84" i="4"/>
  <c r="F85" i="4"/>
  <c r="I85" i="4"/>
  <c r="J85" i="4"/>
  <c r="F86" i="4"/>
  <c r="I86" i="4"/>
  <c r="J86" i="4"/>
  <c r="H87" i="4"/>
  <c r="I87" i="4"/>
  <c r="J87" i="4"/>
  <c r="I88" i="4"/>
  <c r="J88" i="4"/>
  <c r="I89" i="4"/>
  <c r="J89" i="4"/>
  <c r="I91" i="4"/>
  <c r="I64" i="5"/>
  <c r="J64" i="5"/>
  <c r="I66" i="5"/>
  <c r="J66" i="5"/>
  <c r="I72" i="5"/>
  <c r="J72" i="5"/>
  <c r="I74" i="5"/>
  <c r="J74" i="5"/>
  <c r="I76" i="5"/>
  <c r="J76" i="5"/>
  <c r="I82" i="5"/>
  <c r="J82" i="5"/>
  <c r="F83" i="5"/>
  <c r="I83" i="5"/>
  <c r="J83" i="5"/>
  <c r="F84" i="5"/>
  <c r="I84" i="5"/>
  <c r="J84" i="5"/>
  <c r="F85" i="5"/>
  <c r="I85" i="5"/>
  <c r="J85" i="5"/>
  <c r="H86" i="5"/>
  <c r="I86" i="5"/>
  <c r="J86" i="5"/>
  <c r="I87" i="5"/>
  <c r="J87" i="5"/>
  <c r="F88" i="5"/>
  <c r="I88" i="5"/>
  <c r="J88" i="5"/>
  <c r="I90" i="5"/>
  <c r="I92" i="5"/>
</calcChain>
</file>

<file path=xl/sharedStrings.xml><?xml version="1.0" encoding="utf-8"?>
<sst xmlns="http://schemas.openxmlformats.org/spreadsheetml/2006/main" count="215" uniqueCount="98">
  <si>
    <t>[1.0]</t>
  </si>
  <si>
    <t>PREMISSAS DA IMPORTAÇÃO</t>
  </si>
  <si>
    <t>COMEXPORT TRADING</t>
  </si>
  <si>
    <t>CDI - o.o.</t>
  </si>
  <si>
    <t>SPREAD CDI - a.m.</t>
  </si>
  <si>
    <t>[2.0]</t>
  </si>
  <si>
    <t>COMPOSIÇÃO DO VALOR ADUANEIRO</t>
  </si>
  <si>
    <t>[+]</t>
  </si>
  <si>
    <t>[=]</t>
  </si>
  <si>
    <t>VALOR CIF (CUSTO, SEGURO E FRETE)</t>
  </si>
  <si>
    <t>[3.0]</t>
  </si>
  <si>
    <t>IMPOSTOS DE NACIONALIZAÇÃO</t>
  </si>
  <si>
    <t>I.I.</t>
  </si>
  <si>
    <t>I.P.I</t>
  </si>
  <si>
    <t>TOTAL DE IMPOSTOS DE NACIONALIZAÇÃO</t>
  </si>
  <si>
    <t>[4.0]</t>
  </si>
  <si>
    <t>TOTAL DE DESPESAS DE NACIONALIZAÇÃO</t>
  </si>
  <si>
    <t>[5.0]</t>
  </si>
  <si>
    <t>DESPESAS FINANCEIRAS</t>
  </si>
  <si>
    <t xml:space="preserve"> </t>
  </si>
  <si>
    <t>TOTAL DE DESPESAS FINANCEIRAS</t>
  </si>
  <si>
    <t>[6.0]</t>
  </si>
  <si>
    <t>CUSTO TOTAL DA IMPORTAÇÃO POR ENCOMENDA</t>
  </si>
  <si>
    <t>CUSTO TOTAL DA IMPORTAÇÃO</t>
  </si>
  <si>
    <t>[-]</t>
  </si>
  <si>
    <t>CRÉDITO IPI IMPORTAÇÃO</t>
  </si>
  <si>
    <t>CUSTO LIQUIDO IMPORTAÇÃO</t>
  </si>
  <si>
    <t>[7.0]</t>
  </si>
  <si>
    <t>IPI</t>
  </si>
  <si>
    <t>CUSTO DE IMPORTAÇÃO VIA COMEXPORT TRADING</t>
  </si>
  <si>
    <t xml:space="preserve">AERONAVE </t>
  </si>
  <si>
    <t xml:space="preserve">NCM (CLASSIFICAÇÃO FISCAL) </t>
  </si>
  <si>
    <t>DESEMBARAÇO</t>
  </si>
  <si>
    <t xml:space="preserve">VITÓRIA </t>
  </si>
  <si>
    <t xml:space="preserve">FABRICANTE </t>
  </si>
  <si>
    <t xml:space="preserve">PROCEDÊNCIA </t>
  </si>
  <si>
    <t>VALOR DA MERCADORIA CIF</t>
  </si>
  <si>
    <t xml:space="preserve">HONORÁRIO DESPACHANTE AERONÁUTICO </t>
  </si>
  <si>
    <t xml:space="preserve">DIFERENÇA CAMBIAL (CAMBIO X DI) </t>
  </si>
  <si>
    <t xml:space="preserve">CUSTO TOTAL </t>
  </si>
  <si>
    <t>VALOR TOTAL</t>
  </si>
  <si>
    <t>ICMS (ATO COTEP - CONVENIO 75/91)</t>
  </si>
  <si>
    <t>PREVISÃO DE EMBARQUE</t>
  </si>
  <si>
    <t>VALOR FOB</t>
  </si>
  <si>
    <t xml:space="preserve">DESPESAS OPERACIONAIS </t>
  </si>
  <si>
    <t>DESPESAS + FATURAMENTO</t>
  </si>
  <si>
    <t xml:space="preserve">IMPOSTOS NACIONALIZAÇÃO </t>
  </si>
  <si>
    <t xml:space="preserve">VALOR BASE ICMS </t>
  </si>
  <si>
    <t xml:space="preserve">TOTAL NF VENDA COMEXPORT &gt; CLIENTE </t>
  </si>
  <si>
    <t xml:space="preserve">TRASLADO INTERNACIONAL </t>
  </si>
  <si>
    <t>DATA COTAÇÃO</t>
  </si>
  <si>
    <t>TAXA DO DOLAR</t>
  </si>
  <si>
    <t xml:space="preserve">estimado </t>
  </si>
  <si>
    <t xml:space="preserve">cortesia Comexport </t>
  </si>
  <si>
    <t xml:space="preserve">TRANSLADO INTERNACIONAL </t>
  </si>
  <si>
    <t>estimados</t>
  </si>
  <si>
    <t xml:space="preserve">COURIER + CARTÓRIO+ TRADUÇÃO BILL OF SALE </t>
  </si>
  <si>
    <r>
      <t xml:space="preserve">SEGURO AERONÁUTICO </t>
    </r>
    <r>
      <rPr>
        <sz val="7"/>
        <rFont val="Calibri"/>
        <family val="2"/>
        <scheme val="minor"/>
      </rPr>
      <t xml:space="preserve">(CASCO E LUC - VALIDADE 1 ANO - 1/10) </t>
    </r>
  </si>
  <si>
    <r>
      <t>ATENDIMENTO</t>
    </r>
    <r>
      <rPr>
        <sz val="7"/>
        <rFont val="Calibri"/>
        <family val="2"/>
        <scheme val="minor"/>
      </rPr>
      <t xml:space="preserve"> (PUSH BACK) EM VITÓRIA/ES</t>
    </r>
  </si>
  <si>
    <r>
      <t xml:space="preserve">TAXA SISCOMEX </t>
    </r>
    <r>
      <rPr>
        <sz val="7"/>
        <rFont val="Calibri"/>
        <family val="2"/>
        <scheme val="minor"/>
      </rPr>
      <t>(REGISTRO DI)</t>
    </r>
  </si>
  <si>
    <t xml:space="preserve">VTI + PCA  </t>
  </si>
  <si>
    <t xml:space="preserve">NOTA FISCAL COMEXPORT </t>
  </si>
  <si>
    <t xml:space="preserve">FATOR DE NACIONALIZAÇÃO SOBRE O VALOR DA AERONAVE </t>
  </si>
  <si>
    <t xml:space="preserve">SEGURO OBRIGATÓRIO RETA </t>
  </si>
  <si>
    <r>
      <t xml:space="preserve">HANGARAGEM - MARLIM AZUL </t>
    </r>
    <r>
      <rPr>
        <sz val="7"/>
        <rFont val="Calibri"/>
        <family val="2"/>
        <scheme val="minor"/>
      </rPr>
      <t xml:space="preserve">(CIRCULAÇÃO BALANÇO COMEXPORT - VITÓRIA- ES) </t>
    </r>
  </si>
  <si>
    <t>8802.XX.XX</t>
  </si>
  <si>
    <t xml:space="preserve">TAXA FINIMP </t>
  </si>
  <si>
    <t xml:space="preserve">TARIFA DE POUSO DOMÉSTICO - SBVT - VITÓRIA </t>
  </si>
  <si>
    <t xml:space="preserve">TARIFA PERMANENCIA - SBVT - VITÓRIA </t>
  </si>
  <si>
    <t xml:space="preserve">DESCONTO COMERCIAL COMEXPORT </t>
  </si>
  <si>
    <t xml:space="preserve">EUA </t>
  </si>
  <si>
    <r>
      <t xml:space="preserve">EMOLUMENTOS ANAC </t>
    </r>
    <r>
      <rPr>
        <sz val="7"/>
        <rFont val="Calibri"/>
        <family val="2"/>
        <scheme val="minor"/>
      </rPr>
      <t xml:space="preserve">(ANATEL / RAB/ CA+CM +VTI) </t>
    </r>
  </si>
  <si>
    <t xml:space="preserve">a definir/estimado </t>
  </si>
  <si>
    <t xml:space="preserve"> pagamento direto </t>
  </si>
  <si>
    <t>estimado</t>
  </si>
  <si>
    <t>TARIFA DE PERMANÊNCIA (VINCI - SBEG)</t>
  </si>
  <si>
    <t>TARIFA DE POUSO (VINCI - SBEG)</t>
  </si>
  <si>
    <t xml:space="preserve">DESPACHANTE ADUANEIRO - RECEITA FEDERAL </t>
  </si>
  <si>
    <t>cotaremos  posteriormente</t>
  </si>
  <si>
    <t xml:space="preserve">OUTROS </t>
  </si>
  <si>
    <t>COFINS - COM BASE NA LC 224/2025 - 10% DE 9,65%</t>
  </si>
  <si>
    <t>PIS IMPORTAÇÃO - COM BASE NA LC 224/2025 - 10% DE 2,10%</t>
  </si>
  <si>
    <t>PIS FATURAMENTO- COM BASE NA LC 224/2025 - 10% DE 1,65%</t>
  </si>
  <si>
    <t xml:space="preserve">COFINS FATURAMENTO - COM BASE NA LC 224/2025 - 10% DE 7,60% </t>
  </si>
  <si>
    <t>ESCROW + TRUST</t>
  </si>
  <si>
    <t xml:space="preserve">HONORÁRIO DESPACHANTE AERONÁUTICO + EMOLUMENTOS </t>
  </si>
  <si>
    <t>TARIFAS DE POUSO E PERMANÊNCIA</t>
  </si>
  <si>
    <t xml:space="preserve">pagamento direto </t>
  </si>
  <si>
    <t>PRÉ COMPRA</t>
  </si>
  <si>
    <t xml:space="preserve">EXPORT/DAR  </t>
  </si>
  <si>
    <t xml:space="preserve">HONORÁRIOS ADVOCATÍCIOS </t>
  </si>
  <si>
    <t xml:space="preserve">estimado - 1/10 </t>
  </si>
  <si>
    <t xml:space="preserve">CIRRUS </t>
  </si>
  <si>
    <t xml:space="preserve">CUSTO ADMINISTRATIVO COMEXPORT </t>
  </si>
  <si>
    <t>cortesia Comexport</t>
  </si>
  <si>
    <t>pagamento direto</t>
  </si>
  <si>
    <t>ASSESSORIA AVIADORES</t>
  </si>
  <si>
    <t>2023 SR22 G6 GTS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</si>
</sst>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  <numFmt numFmtId="166" formatCode="_-[$USD]\ * #,##0.00_-;\-[$USD]\ * #,##0.00_-;_-[$USD]\ * &quot;-&quot;??_-;_-@_-"/>
    <numFmt numFmtId="167" formatCode="0\ &quot;Dias&quot;"/>
    <numFmt numFmtId="168" formatCode="_-[$EUR]\ * #,##0.00_-;\-[$EUR]\ * #,##0.00_-;_-[$EUR]\ * &quot;-&quot;??_-;_-@_-"/>
    <numFmt numFmtId="169" formatCode="&quot;Redução para &quot;0.00%"/>
    <numFmt numFmtId="170" formatCode="_-[$$-409]* #,##0.00_ ;_-[$$-409]* \-#,##0.00\ ;_-[$$-409]* &quot;-&quot;??_ ;_-@_ "/>
    <numFmt numFmtId="171" formatCode="0.00000"/>
    <numFmt numFmtId="172" formatCode="0.000%"/>
    <numFmt numFmtId="173" formatCode="&quot;PAGAMENTO NA ACEITAÇÃO 100% ABRIL/26 &quot;\ 000,000.00"/>
    <numFmt numFmtId="174" formatCode="&quot;CONTRATAÇÃO FINIMP - USD  &quot;\ 000,000.00"/>
    <numFmt numFmtId="175" formatCode="&quot;PAGAMENTO SINAL - VIA CÂMBIO - USD&quot;\ 000,000.00"/>
    <numFmt numFmtId="176" formatCode="0.0000"/>
    <numFmt numFmtId="177" formatCode="0.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82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4.9989318521683403E-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/>
      <right style="thin">
        <color theme="0" tint="-0.24994659260841701"/>
      </right>
      <top/>
      <bottom style="thin">
        <color theme="0" tint="-0.249977111117893"/>
      </bottom>
      <diagonal/>
    </border>
    <border>
      <left/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40">
    <xf numFmtId="0" fontId="0" fillId="0" borderId="0" xfId="0"/>
    <xf numFmtId="0" fontId="0" fillId="0" borderId="5" xfId="0" applyBorder="1"/>
    <xf numFmtId="0" fontId="0" fillId="0" borderId="8" xfId="0" applyBorder="1"/>
    <xf numFmtId="0" fontId="7" fillId="0" borderId="13" xfId="4" applyFont="1" applyBorder="1"/>
    <xf numFmtId="0" fontId="9" fillId="0" borderId="15" xfId="4" applyFont="1" applyBorder="1" applyAlignment="1">
      <alignment vertical="center"/>
    </xf>
    <xf numFmtId="0" fontId="7" fillId="0" borderId="15" xfId="4" applyFont="1" applyBorder="1"/>
    <xf numFmtId="165" fontId="7" fillId="0" borderId="15" xfId="4" applyNumberFormat="1" applyFont="1" applyBorder="1"/>
    <xf numFmtId="0" fontId="7" fillId="0" borderId="16" xfId="4" applyFont="1" applyBorder="1"/>
    <xf numFmtId="0" fontId="7" fillId="0" borderId="19" xfId="4" applyFont="1" applyBorder="1"/>
    <xf numFmtId="0" fontId="0" fillId="0" borderId="13" xfId="0" applyBorder="1"/>
    <xf numFmtId="0" fontId="7" fillId="0" borderId="21" xfId="4" applyFont="1" applyBorder="1"/>
    <xf numFmtId="0" fontId="3" fillId="0" borderId="1" xfId="0" applyFont="1" applyBorder="1"/>
    <xf numFmtId="0" fontId="11" fillId="0" borderId="4" xfId="4" applyFont="1" applyBorder="1" applyAlignment="1">
      <alignment vertical="center"/>
    </xf>
    <xf numFmtId="166" fontId="11" fillId="0" borderId="4" xfId="4" applyNumberFormat="1" applyFont="1" applyBorder="1" applyAlignment="1">
      <alignment vertical="center"/>
    </xf>
    <xf numFmtId="0" fontId="7" fillId="0" borderId="20" xfId="4" applyFont="1" applyBorder="1"/>
    <xf numFmtId="0" fontId="4" fillId="0" borderId="12" xfId="4" applyFont="1" applyBorder="1" applyAlignment="1">
      <alignment vertical="center"/>
    </xf>
    <xf numFmtId="0" fontId="4" fillId="0" borderId="10" xfId="4" applyFont="1" applyBorder="1" applyAlignment="1" applyProtection="1">
      <alignment horizontal="center" vertical="center"/>
      <protection hidden="1"/>
    </xf>
    <xf numFmtId="0" fontId="4" fillId="0" borderId="22" xfId="4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4" fillId="0" borderId="3" xfId="4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>
      <alignment vertical="center"/>
    </xf>
    <xf numFmtId="0" fontId="4" fillId="0" borderId="6" xfId="4" applyFont="1" applyBorder="1" applyAlignment="1" applyProtection="1">
      <alignment horizontal="center" vertical="center"/>
      <protection hidden="1"/>
    </xf>
    <xf numFmtId="0" fontId="4" fillId="0" borderId="23" xfId="4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7" fontId="4" fillId="0" borderId="4" xfId="0" applyNumberFormat="1" applyFont="1" applyBorder="1" applyAlignment="1">
      <alignment horizontal="center" vertical="center"/>
    </xf>
    <xf numFmtId="10" fontId="4" fillId="0" borderId="4" xfId="3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4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>
      <alignment vertical="center"/>
    </xf>
    <xf numFmtId="166" fontId="11" fillId="0" borderId="4" xfId="0" applyNumberFormat="1" applyFont="1" applyBorder="1" applyAlignment="1">
      <alignment vertical="center"/>
    </xf>
    <xf numFmtId="165" fontId="11" fillId="0" borderId="4" xfId="0" applyNumberFormat="1" applyFont="1" applyBorder="1" applyAlignment="1">
      <alignment vertical="center"/>
    </xf>
    <xf numFmtId="0" fontId="4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4" fillId="4" borderId="0" xfId="4" applyFont="1" applyFill="1" applyAlignment="1" applyProtection="1">
      <alignment horizontal="center" vertical="center"/>
      <protection hidden="1"/>
    </xf>
    <xf numFmtId="0" fontId="0" fillId="4" borderId="0" xfId="0" applyFill="1"/>
    <xf numFmtId="0" fontId="7" fillId="4" borderId="0" xfId="4" applyFont="1" applyFill="1"/>
    <xf numFmtId="0" fontId="3" fillId="4" borderId="0" xfId="0" applyFont="1" applyFill="1"/>
    <xf numFmtId="0" fontId="12" fillId="4" borderId="0" xfId="0" applyFont="1" applyFill="1" applyAlignment="1">
      <alignment vertical="center"/>
    </xf>
    <xf numFmtId="0" fontId="12" fillId="4" borderId="0" xfId="4" applyFont="1" applyFill="1" applyAlignment="1" applyProtection="1">
      <alignment horizontal="center" vertical="center"/>
      <protection hidden="1"/>
    </xf>
    <xf numFmtId="43" fontId="0" fillId="4" borderId="0" xfId="1" applyFont="1" applyFill="1"/>
    <xf numFmtId="43" fontId="0" fillId="4" borderId="0" xfId="0" applyNumberFormat="1" applyFill="1"/>
    <xf numFmtId="0" fontId="4" fillId="4" borderId="0" xfId="4" applyFont="1" applyFill="1" applyProtection="1">
      <protection hidden="1"/>
    </xf>
    <xf numFmtId="164" fontId="11" fillId="0" borderId="4" xfId="2" applyFont="1" applyBorder="1" applyAlignment="1">
      <alignment vertical="center"/>
    </xf>
    <xf numFmtId="0" fontId="4" fillId="4" borderId="0" xfId="4" applyFont="1" applyFill="1"/>
    <xf numFmtId="0" fontId="0" fillId="0" borderId="7" xfId="0" applyBorder="1"/>
    <xf numFmtId="0" fontId="0" fillId="0" borderId="11" xfId="0" applyBorder="1"/>
    <xf numFmtId="0" fontId="10" fillId="5" borderId="12" xfId="4" applyFont="1" applyFill="1" applyBorder="1" applyAlignment="1" applyProtection="1">
      <alignment horizontal="left" vertical="center"/>
      <protection hidden="1"/>
    </xf>
    <xf numFmtId="0" fontId="10" fillId="5" borderId="12" xfId="4" applyFont="1" applyFill="1" applyBorder="1" applyAlignment="1" applyProtection="1">
      <alignment horizontal="center" vertical="center"/>
      <protection hidden="1"/>
    </xf>
    <xf numFmtId="0" fontId="4" fillId="5" borderId="12" xfId="4" applyFont="1" applyFill="1" applyBorder="1" applyProtection="1">
      <protection hidden="1"/>
    </xf>
    <xf numFmtId="0" fontId="10" fillId="0" borderId="0" xfId="4" applyFont="1" applyAlignment="1" applyProtection="1">
      <alignment horizontal="center" vertical="center"/>
      <protection hidden="1"/>
    </xf>
    <xf numFmtId="0" fontId="4" fillId="0" borderId="0" xfId="4" applyFont="1" applyProtection="1">
      <protection hidden="1"/>
    </xf>
    <xf numFmtId="0" fontId="11" fillId="4" borderId="0" xfId="4" applyFont="1" applyFill="1" applyAlignment="1">
      <alignment horizontal="left" vertical="center"/>
    </xf>
    <xf numFmtId="0" fontId="11" fillId="4" borderId="0" xfId="4" applyFont="1" applyFill="1" applyAlignment="1">
      <alignment vertical="center"/>
    </xf>
    <xf numFmtId="168" fontId="11" fillId="4" borderId="0" xfId="4" applyNumberFormat="1" applyFont="1" applyFill="1" applyAlignment="1">
      <alignment vertical="center"/>
    </xf>
    <xf numFmtId="10" fontId="11" fillId="4" borderId="0" xfId="4" applyNumberFormat="1" applyFont="1" applyFill="1" applyAlignment="1">
      <alignment vertical="center"/>
    </xf>
    <xf numFmtId="166" fontId="11" fillId="4" borderId="0" xfId="4" applyNumberFormat="1" applyFont="1" applyFill="1" applyAlignment="1">
      <alignment vertical="center"/>
    </xf>
    <xf numFmtId="164" fontId="11" fillId="4" borderId="0" xfId="2" applyFont="1" applyFill="1" applyBorder="1" applyAlignment="1">
      <alignment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vertical="center"/>
    </xf>
    <xf numFmtId="165" fontId="11" fillId="4" borderId="0" xfId="4" applyNumberFormat="1" applyFont="1" applyFill="1" applyAlignment="1">
      <alignment vertical="center"/>
    </xf>
    <xf numFmtId="10" fontId="4" fillId="0" borderId="4" xfId="0" applyNumberFormat="1" applyFont="1" applyBorder="1" applyAlignment="1">
      <alignment horizontal="right" vertical="center"/>
    </xf>
    <xf numFmtId="165" fontId="13" fillId="0" borderId="4" xfId="4" applyNumberFormat="1" applyFont="1" applyBorder="1" applyAlignment="1">
      <alignment vertical="center"/>
    </xf>
    <xf numFmtId="10" fontId="4" fillId="4" borderId="0" xfId="3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10" fontId="11" fillId="4" borderId="0" xfId="0" applyNumberFormat="1" applyFont="1" applyFill="1" applyAlignment="1">
      <alignment vertical="center"/>
    </xf>
    <xf numFmtId="166" fontId="11" fillId="4" borderId="0" xfId="0" applyNumberFormat="1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4" borderId="0" xfId="0" applyNumberFormat="1" applyFont="1" applyFill="1" applyAlignment="1">
      <alignment vertical="center"/>
    </xf>
    <xf numFmtId="165" fontId="4" fillId="4" borderId="0" xfId="0" applyNumberFormat="1" applyFont="1" applyFill="1" applyAlignment="1">
      <alignment vertical="center"/>
    </xf>
    <xf numFmtId="169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7" fontId="4" fillId="4" borderId="0" xfId="4" applyNumberFormat="1" applyFont="1" applyFill="1" applyAlignment="1">
      <alignment horizontal="center" vertical="center"/>
    </xf>
    <xf numFmtId="0" fontId="11" fillId="5" borderId="0" xfId="4" applyFont="1" applyFill="1" applyAlignment="1">
      <alignment horizontal="center" vertical="center"/>
    </xf>
    <xf numFmtId="0" fontId="11" fillId="5" borderId="0" xfId="4" applyFont="1" applyFill="1" applyAlignment="1">
      <alignment vertical="center"/>
    </xf>
    <xf numFmtId="166" fontId="11" fillId="5" borderId="0" xfId="4" applyNumberFormat="1" applyFont="1" applyFill="1" applyAlignment="1">
      <alignment vertical="center"/>
    </xf>
    <xf numFmtId="164" fontId="11" fillId="5" borderId="0" xfId="2" applyFont="1" applyFill="1" applyBorder="1" applyAlignment="1">
      <alignment vertical="center"/>
    </xf>
    <xf numFmtId="167" fontId="4" fillId="0" borderId="0" xfId="4" applyNumberFormat="1" applyFont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0" fontId="4" fillId="4" borderId="26" xfId="4" applyFont="1" applyFill="1" applyBorder="1" applyAlignment="1">
      <alignment horizontal="center" vertical="center"/>
    </xf>
    <xf numFmtId="0" fontId="4" fillId="4" borderId="26" xfId="4" applyFont="1" applyFill="1" applyBorder="1" applyAlignment="1">
      <alignment vertical="center"/>
    </xf>
    <xf numFmtId="166" fontId="4" fillId="4" borderId="26" xfId="4" applyNumberFormat="1" applyFont="1" applyFill="1" applyBorder="1" applyAlignment="1">
      <alignment vertical="center"/>
    </xf>
    <xf numFmtId="164" fontId="4" fillId="4" borderId="26" xfId="2" applyFont="1" applyFill="1" applyBorder="1" applyAlignment="1">
      <alignment vertical="center"/>
    </xf>
    <xf numFmtId="0" fontId="4" fillId="0" borderId="26" xfId="0" applyFont="1" applyBorder="1" applyAlignment="1">
      <alignment vertical="center"/>
    </xf>
    <xf numFmtId="166" fontId="4" fillId="0" borderId="26" xfId="0" applyNumberFormat="1" applyFont="1" applyBorder="1" applyAlignment="1">
      <alignment vertical="center"/>
    </xf>
    <xf numFmtId="165" fontId="4" fillId="0" borderId="26" xfId="0" applyNumberFormat="1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11" fillId="4" borderId="0" xfId="4" applyFont="1" applyFill="1" applyAlignment="1">
      <alignment horizontal="center" vertical="center"/>
    </xf>
    <xf numFmtId="0" fontId="15" fillId="4" borderId="0" xfId="4" applyFont="1" applyFill="1" applyAlignment="1" applyProtection="1">
      <alignment horizontal="center" vertical="center"/>
      <protection hidden="1"/>
    </xf>
    <xf numFmtId="0" fontId="16" fillId="0" borderId="0" xfId="0" applyFont="1" applyAlignment="1">
      <alignment vertical="center"/>
    </xf>
    <xf numFmtId="166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0" fillId="4" borderId="0" xfId="4" applyFont="1" applyFill="1" applyAlignment="1" applyProtection="1">
      <alignment horizontal="center" vertical="center"/>
      <protection hidden="1"/>
    </xf>
    <xf numFmtId="166" fontId="4" fillId="0" borderId="0" xfId="4" applyNumberFormat="1" applyFont="1" applyAlignment="1" applyProtection="1">
      <alignment vertical="center" shrinkToFit="1" readingOrder="1"/>
      <protection hidden="1"/>
    </xf>
    <xf numFmtId="0" fontId="4" fillId="0" borderId="27" xfId="0" applyFont="1" applyBorder="1" applyAlignment="1">
      <alignment vertical="center"/>
    </xf>
    <xf numFmtId="166" fontId="4" fillId="0" borderId="27" xfId="0" applyNumberFormat="1" applyFont="1" applyBorder="1" applyAlignment="1">
      <alignment vertical="center"/>
    </xf>
    <xf numFmtId="165" fontId="4" fillId="0" borderId="27" xfId="0" applyNumberFormat="1" applyFont="1" applyBorder="1" applyAlignment="1">
      <alignment vertical="center"/>
    </xf>
    <xf numFmtId="10" fontId="11" fillId="4" borderId="0" xfId="0" applyNumberFormat="1" applyFont="1" applyFill="1" applyAlignment="1">
      <alignment horizontal="center" vertical="center"/>
    </xf>
    <xf numFmtId="17" fontId="4" fillId="0" borderId="0" xfId="4" applyNumberFormat="1" applyFont="1" applyAlignment="1" applyProtection="1">
      <alignment vertical="center"/>
      <protection hidden="1"/>
    </xf>
    <xf numFmtId="0" fontId="4" fillId="4" borderId="0" xfId="4" applyFont="1" applyFill="1" applyAlignment="1" applyProtection="1">
      <alignment horizontal="right" vertical="center"/>
      <protection hidden="1"/>
    </xf>
    <xf numFmtId="0" fontId="10" fillId="0" borderId="0" xfId="4" applyFont="1" applyAlignment="1" applyProtection="1">
      <alignment horizontal="right" vertical="center"/>
      <protection hidden="1"/>
    </xf>
    <xf numFmtId="0" fontId="4" fillId="0" borderId="0" xfId="4" applyFont="1" applyAlignment="1" applyProtection="1">
      <alignment horizontal="right" vertical="center"/>
      <protection hidden="1"/>
    </xf>
    <xf numFmtId="166" fontId="4" fillId="0" borderId="0" xfId="4" applyNumberFormat="1" applyFont="1" applyAlignment="1" applyProtection="1">
      <alignment horizontal="right" vertical="center" shrinkToFit="1" readingOrder="1"/>
      <protection hidden="1"/>
    </xf>
    <xf numFmtId="14" fontId="4" fillId="0" borderId="0" xfId="3" applyNumberFormat="1" applyFont="1" applyFill="1" applyBorder="1" applyAlignment="1" applyProtection="1">
      <alignment vertical="center"/>
      <protection hidden="1"/>
    </xf>
    <xf numFmtId="10" fontId="4" fillId="4" borderId="0" xfId="4" applyNumberFormat="1" applyFont="1" applyFill="1" applyAlignment="1" applyProtection="1">
      <alignment horizontal="right" vertical="center"/>
      <protection hidden="1"/>
    </xf>
    <xf numFmtId="10" fontId="4" fillId="0" borderId="0" xfId="0" applyNumberFormat="1" applyFont="1" applyAlignment="1">
      <alignment horizontal="center" vertical="center"/>
    </xf>
    <xf numFmtId="10" fontId="16" fillId="0" borderId="0" xfId="0" applyNumberFormat="1" applyFont="1" applyAlignment="1">
      <alignment horizontal="center" vertical="center"/>
    </xf>
    <xf numFmtId="10" fontId="4" fillId="4" borderId="0" xfId="0" applyNumberFormat="1" applyFont="1" applyFill="1" applyAlignment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4" fillId="4" borderId="0" xfId="4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10" fontId="4" fillId="0" borderId="0" xfId="3" applyNumberFormat="1" applyFont="1" applyFill="1" applyBorder="1" applyAlignment="1" applyProtection="1">
      <alignment horizontal="right" vertical="center"/>
      <protection hidden="1"/>
    </xf>
    <xf numFmtId="168" fontId="17" fillId="0" borderId="0" xfId="4" applyNumberFormat="1" applyFont="1" applyAlignment="1">
      <alignment vertical="center"/>
    </xf>
    <xf numFmtId="10" fontId="14" fillId="4" borderId="0" xfId="2" applyNumberFormat="1" applyFont="1" applyFill="1" applyBorder="1" applyAlignment="1">
      <alignment horizontal="right" vertical="center"/>
    </xf>
    <xf numFmtId="10" fontId="14" fillId="0" borderId="0" xfId="2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6" fontId="11" fillId="0" borderId="0" xfId="4" applyNumberFormat="1" applyFont="1" applyAlignment="1">
      <alignment vertical="center"/>
    </xf>
    <xf numFmtId="0" fontId="18" fillId="0" borderId="0" xfId="0" applyFont="1" applyAlignment="1">
      <alignment vertical="center"/>
    </xf>
    <xf numFmtId="10" fontId="18" fillId="0" borderId="0" xfId="2" applyNumberFormat="1" applyFont="1" applyFill="1" applyBorder="1" applyAlignment="1">
      <alignment horizontal="right" vertical="center"/>
    </xf>
    <xf numFmtId="166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vertical="center"/>
    </xf>
    <xf numFmtId="166" fontId="11" fillId="4" borderId="28" xfId="0" applyNumberFormat="1" applyFont="1" applyFill="1" applyBorder="1" applyAlignment="1">
      <alignment vertical="center"/>
    </xf>
    <xf numFmtId="165" fontId="11" fillId="4" borderId="28" xfId="0" applyNumberFormat="1" applyFon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166" fontId="18" fillId="4" borderId="0" xfId="0" applyNumberFormat="1" applyFont="1" applyFill="1" applyAlignment="1">
      <alignment vertical="center"/>
    </xf>
    <xf numFmtId="165" fontId="18" fillId="4" borderId="0" xfId="0" applyNumberFormat="1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6" xfId="4" applyFont="1" applyBorder="1" applyAlignment="1" applyProtection="1">
      <alignment horizontal="center" vertical="center"/>
      <protection hidden="1"/>
    </xf>
    <xf numFmtId="0" fontId="20" fillId="0" borderId="0" xfId="0" applyFont="1"/>
    <xf numFmtId="10" fontId="0" fillId="0" borderId="0" xfId="3" applyNumberFormat="1" applyFont="1"/>
    <xf numFmtId="167" fontId="4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167" fontId="22" fillId="3" borderId="29" xfId="0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 applyProtection="1">
      <alignment horizontal="right" vertical="center"/>
      <protection hidden="1"/>
    </xf>
    <xf numFmtId="10" fontId="4" fillId="0" borderId="0" xfId="4" applyNumberFormat="1" applyFont="1" applyAlignment="1" applyProtection="1">
      <alignment horizontal="right" vertical="center"/>
      <protection hidden="1"/>
    </xf>
    <xf numFmtId="165" fontId="11" fillId="0" borderId="0" xfId="4" applyNumberFormat="1" applyFont="1" applyAlignment="1">
      <alignment vertical="center"/>
    </xf>
    <xf numFmtId="0" fontId="18" fillId="0" borderId="27" xfId="0" applyFont="1" applyBorder="1" applyAlignment="1">
      <alignment vertical="center"/>
    </xf>
    <xf numFmtId="10" fontId="18" fillId="0" borderId="27" xfId="2" applyNumberFormat="1" applyFont="1" applyFill="1" applyBorder="1" applyAlignment="1">
      <alignment horizontal="right" vertical="center"/>
    </xf>
    <xf numFmtId="166" fontId="18" fillId="0" borderId="27" xfId="0" applyNumberFormat="1" applyFont="1" applyBorder="1" applyAlignment="1">
      <alignment vertical="center"/>
    </xf>
    <xf numFmtId="165" fontId="18" fillId="0" borderId="27" xfId="0" applyNumberFormat="1" applyFont="1" applyBorder="1" applyAlignment="1">
      <alignment vertical="center"/>
    </xf>
    <xf numFmtId="165" fontId="21" fillId="0" borderId="0" xfId="2" applyNumberFormat="1" applyFont="1" applyFill="1" applyBorder="1" applyAlignment="1">
      <alignment horizontal="right" vertical="center"/>
    </xf>
    <xf numFmtId="0" fontId="23" fillId="0" borderId="26" xfId="0" applyFont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166" fontId="23" fillId="0" borderId="26" xfId="0" applyNumberFormat="1" applyFont="1" applyBorder="1" applyAlignment="1">
      <alignment vertical="center"/>
    </xf>
    <xf numFmtId="165" fontId="23" fillId="0" borderId="26" xfId="0" applyNumberFormat="1" applyFont="1" applyBorder="1" applyAlignment="1">
      <alignment vertical="center"/>
    </xf>
    <xf numFmtId="1" fontId="24" fillId="4" borderId="0" xfId="4" applyNumberFormat="1" applyFont="1" applyFill="1" applyAlignment="1">
      <alignment horizontal="center" vertical="center"/>
    </xf>
    <xf numFmtId="1" fontId="24" fillId="0" borderId="0" xfId="4" applyNumberFormat="1" applyFont="1" applyAlignment="1">
      <alignment horizontal="center" vertical="center"/>
    </xf>
    <xf numFmtId="172" fontId="0" fillId="0" borderId="0" xfId="3" applyNumberFormat="1" applyFont="1"/>
    <xf numFmtId="167" fontId="11" fillId="4" borderId="0" xfId="4" applyNumberFormat="1" applyFont="1" applyFill="1" applyAlignment="1">
      <alignment horizontal="center" vertical="center"/>
    </xf>
    <xf numFmtId="10" fontId="11" fillId="4" borderId="0" xfId="3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167" fontId="4" fillId="0" borderId="30" xfId="4" applyNumberFormat="1" applyFont="1" applyBorder="1" applyAlignment="1">
      <alignment horizontal="center" vertical="center"/>
    </xf>
    <xf numFmtId="1" fontId="24" fillId="0" borderId="30" xfId="4" applyNumberFormat="1" applyFont="1" applyBorder="1" applyAlignment="1">
      <alignment horizontal="center" vertical="center"/>
    </xf>
    <xf numFmtId="10" fontId="4" fillId="0" borderId="30" xfId="3" applyNumberFormat="1" applyFont="1" applyFill="1" applyBorder="1" applyAlignment="1">
      <alignment horizontal="center" vertical="center"/>
    </xf>
    <xf numFmtId="166" fontId="4" fillId="0" borderId="30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68" fontId="18" fillId="0" borderId="0" xfId="4" applyNumberFormat="1" applyFont="1" applyAlignment="1">
      <alignment vertical="center"/>
    </xf>
    <xf numFmtId="166" fontId="18" fillId="0" borderId="0" xfId="4" applyNumberFormat="1" applyFont="1" applyAlignment="1">
      <alignment vertical="center"/>
    </xf>
    <xf numFmtId="164" fontId="18" fillId="0" borderId="0" xfId="2" applyFont="1" applyFill="1" applyBorder="1" applyAlignment="1">
      <alignment vertical="center"/>
    </xf>
    <xf numFmtId="164" fontId="14" fillId="4" borderId="0" xfId="2" applyFont="1" applyFill="1" applyBorder="1" applyAlignment="1">
      <alignment horizontal="right" vertical="center"/>
    </xf>
    <xf numFmtId="170" fontId="25" fillId="0" borderId="0" xfId="2" applyNumberFormat="1" applyFont="1"/>
    <xf numFmtId="0" fontId="25" fillId="0" borderId="0" xfId="0" applyFont="1"/>
    <xf numFmtId="170" fontId="25" fillId="0" borderId="0" xfId="3" applyNumberFormat="1" applyFont="1" applyFill="1"/>
    <xf numFmtId="10" fontId="25" fillId="0" borderId="0" xfId="3" applyNumberFormat="1" applyFont="1" applyFill="1"/>
    <xf numFmtId="166" fontId="4" fillId="4" borderId="0" xfId="4" applyNumberFormat="1" applyFont="1" applyFill="1" applyAlignment="1" applyProtection="1">
      <alignment vertical="center" shrinkToFit="1" readingOrder="1"/>
      <protection hidden="1"/>
    </xf>
    <xf numFmtId="17" fontId="4" fillId="4" borderId="0" xfId="4" applyNumberFormat="1" applyFont="1" applyFill="1" applyAlignment="1" applyProtection="1">
      <alignment horizontal="right" vertical="center"/>
      <protection hidden="1"/>
    </xf>
    <xf numFmtId="172" fontId="25" fillId="0" borderId="0" xfId="3" applyNumberFormat="1" applyFont="1" applyFill="1"/>
    <xf numFmtId="0" fontId="11" fillId="4" borderId="0" xfId="0" applyFont="1" applyFill="1" applyAlignment="1">
      <alignment horizontal="center" vertical="center"/>
    </xf>
    <xf numFmtId="0" fontId="10" fillId="0" borderId="0" xfId="4" applyFont="1" applyAlignment="1" applyProtection="1">
      <alignment horizontal="left" vertical="center"/>
      <protection hidden="1"/>
    </xf>
    <xf numFmtId="0" fontId="10" fillId="4" borderId="0" xfId="4" applyFont="1" applyFill="1" applyAlignment="1" applyProtection="1">
      <alignment horizontal="left" vertical="center"/>
      <protection hidden="1"/>
    </xf>
    <xf numFmtId="0" fontId="4" fillId="5" borderId="12" xfId="4" applyFont="1" applyFill="1" applyBorder="1" applyAlignment="1" applyProtection="1">
      <alignment horizontal="center" vertical="center"/>
      <protection hidden="1"/>
    </xf>
    <xf numFmtId="166" fontId="14" fillId="0" borderId="0" xfId="4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164" fontId="18" fillId="4" borderId="0" xfId="2" applyFont="1" applyFill="1" applyBorder="1" applyAlignment="1">
      <alignment vertical="center"/>
    </xf>
    <xf numFmtId="10" fontId="4" fillId="5" borderId="0" xfId="0" applyNumberFormat="1" applyFont="1" applyFill="1" applyAlignment="1">
      <alignment horizontal="center" vertical="center"/>
    </xf>
    <xf numFmtId="10" fontId="4" fillId="5" borderId="26" xfId="0" applyNumberFormat="1" applyFont="1" applyFill="1" applyBorder="1" applyAlignment="1">
      <alignment horizontal="center" vertical="center"/>
    </xf>
    <xf numFmtId="172" fontId="4" fillId="0" borderId="27" xfId="0" applyNumberFormat="1" applyFont="1" applyBorder="1" applyAlignment="1">
      <alignment horizontal="center" vertical="center"/>
    </xf>
    <xf numFmtId="172" fontId="4" fillId="0" borderId="0" xfId="0" applyNumberFormat="1" applyFont="1" applyAlignment="1">
      <alignment horizontal="center" vertical="center"/>
    </xf>
    <xf numFmtId="166" fontId="0" fillId="0" borderId="0" xfId="0" applyNumberFormat="1"/>
    <xf numFmtId="10" fontId="4" fillId="0" borderId="0" xfId="3" applyNumberFormat="1" applyFont="1" applyAlignment="1">
      <alignment vertical="center"/>
    </xf>
    <xf numFmtId="172" fontId="4" fillId="4" borderId="0" xfId="3" applyNumberFormat="1" applyFont="1" applyFill="1" applyAlignment="1">
      <alignment vertical="center"/>
    </xf>
    <xf numFmtId="166" fontId="4" fillId="4" borderId="0" xfId="4" applyNumberFormat="1" applyFont="1" applyFill="1" applyAlignment="1" applyProtection="1">
      <alignment horizontal="center" vertical="center"/>
      <protection hidden="1"/>
    </xf>
    <xf numFmtId="170" fontId="4" fillId="4" borderId="0" xfId="4" applyNumberFormat="1" applyFont="1" applyFill="1" applyAlignment="1" applyProtection="1">
      <alignment horizontal="center" vertical="center"/>
      <protection hidden="1"/>
    </xf>
    <xf numFmtId="10" fontId="4" fillId="4" borderId="0" xfId="3" applyNumberFormat="1" applyFont="1" applyFill="1" applyAlignment="1" applyProtection="1">
      <alignment horizontal="center" vertical="center"/>
      <protection hidden="1"/>
    </xf>
    <xf numFmtId="172" fontId="4" fillId="5" borderId="0" xfId="0" applyNumberFormat="1" applyFont="1" applyFill="1" applyAlignment="1">
      <alignment horizontal="center" vertical="center"/>
    </xf>
    <xf numFmtId="172" fontId="4" fillId="5" borderId="27" xfId="0" applyNumberFormat="1" applyFont="1" applyFill="1" applyBorder="1" applyAlignment="1">
      <alignment horizontal="center" vertical="center"/>
    </xf>
    <xf numFmtId="176" fontId="4" fillId="0" borderId="0" xfId="4" applyNumberFormat="1" applyFont="1" applyAlignment="1" applyProtection="1">
      <alignment horizontal="right" vertical="center" shrinkToFit="1" readingOrder="1"/>
      <protection hidden="1"/>
    </xf>
    <xf numFmtId="165" fontId="14" fillId="0" borderId="0" xfId="2" applyNumberFormat="1" applyFont="1" applyFill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9" fontId="16" fillId="0" borderId="26" xfId="0" applyNumberFormat="1" applyFont="1" applyBorder="1" applyAlignment="1">
      <alignment vertical="center"/>
    </xf>
    <xf numFmtId="166" fontId="16" fillId="0" borderId="26" xfId="0" applyNumberFormat="1" applyFont="1" applyBorder="1" applyAlignment="1">
      <alignment vertical="center"/>
    </xf>
    <xf numFmtId="165" fontId="16" fillId="0" borderId="26" xfId="0" applyNumberFormat="1" applyFont="1" applyBorder="1" applyAlignment="1">
      <alignment vertical="center"/>
    </xf>
    <xf numFmtId="0" fontId="13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165" fontId="18" fillId="4" borderId="0" xfId="2" applyNumberFormat="1" applyFont="1" applyFill="1" applyBorder="1" applyAlignment="1">
      <alignment horizontal="right" vertical="center"/>
    </xf>
    <xf numFmtId="177" fontId="4" fillId="4" borderId="0" xfId="3" applyNumberFormat="1" applyFont="1" applyFill="1" applyAlignment="1" applyProtection="1">
      <alignment horizontal="center" vertical="center"/>
      <protection hidden="1"/>
    </xf>
    <xf numFmtId="0" fontId="8" fillId="2" borderId="14" xfId="4" applyFont="1" applyFill="1" applyBorder="1" applyAlignment="1">
      <alignment horizontal="center" vertical="center"/>
    </xf>
    <xf numFmtId="0" fontId="8" fillId="2" borderId="15" xfId="4" applyFont="1" applyFill="1" applyBorder="1" applyAlignment="1">
      <alignment horizontal="center" vertical="center"/>
    </xf>
    <xf numFmtId="0" fontId="10" fillId="3" borderId="18" xfId="4" applyFont="1" applyFill="1" applyBorder="1" applyAlignment="1" applyProtection="1">
      <alignment horizontal="center" vertical="center"/>
      <protection hidden="1"/>
    </xf>
    <xf numFmtId="0" fontId="10" fillId="3" borderId="17" xfId="4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Alignment="1">
      <alignment horizontal="center" vertical="center"/>
    </xf>
    <xf numFmtId="176" fontId="11" fillId="4" borderId="0" xfId="0" applyNumberFormat="1" applyFont="1" applyFill="1" applyAlignment="1">
      <alignment horizontal="center" vertical="center"/>
    </xf>
    <xf numFmtId="10" fontId="22" fillId="3" borderId="29" xfId="3" applyNumberFormat="1" applyFont="1" applyFill="1" applyBorder="1" applyAlignment="1">
      <alignment horizontal="center" vertical="center"/>
    </xf>
    <xf numFmtId="175" fontId="4" fillId="0" borderId="0" xfId="0" applyNumberFormat="1" applyFont="1" applyAlignment="1">
      <alignment horizontal="left" vertical="center"/>
    </xf>
    <xf numFmtId="174" fontId="4" fillId="4" borderId="0" xfId="0" applyNumberFormat="1" applyFont="1" applyFill="1" applyAlignment="1">
      <alignment horizontal="left" vertical="center"/>
    </xf>
    <xf numFmtId="0" fontId="10" fillId="0" borderId="0" xfId="4" applyFont="1" applyAlignment="1" applyProtection="1">
      <alignment horizontal="left" vertical="center"/>
      <protection hidden="1"/>
    </xf>
    <xf numFmtId="0" fontId="10" fillId="4" borderId="0" xfId="4" applyFont="1" applyFill="1" applyAlignment="1" applyProtection="1">
      <alignment horizontal="left" vertical="center"/>
      <protection hidden="1"/>
    </xf>
    <xf numFmtId="0" fontId="4" fillId="5" borderId="12" xfId="4" applyFont="1" applyFill="1" applyBorder="1" applyAlignment="1" applyProtection="1">
      <alignment horizontal="center" vertical="center"/>
      <protection hidden="1"/>
    </xf>
    <xf numFmtId="10" fontId="14" fillId="4" borderId="26" xfId="4" applyNumberFormat="1" applyFont="1" applyFill="1" applyBorder="1" applyAlignment="1">
      <alignment horizontal="right" vertical="center"/>
    </xf>
    <xf numFmtId="0" fontId="2" fillId="2" borderId="5" xfId="4" applyFont="1" applyFill="1" applyBorder="1" applyAlignment="1">
      <alignment horizontal="center" vertical="center"/>
    </xf>
    <xf numFmtId="0" fontId="2" fillId="2" borderId="0" xfId="4" applyFont="1" applyFill="1" applyAlignment="1">
      <alignment horizontal="center" vertical="center"/>
    </xf>
    <xf numFmtId="0" fontId="10" fillId="4" borderId="0" xfId="4" applyFont="1" applyFill="1" applyAlignment="1" applyProtection="1">
      <alignment horizontal="right" vertical="center"/>
      <protection hidden="1"/>
    </xf>
    <xf numFmtId="0" fontId="19" fillId="0" borderId="2" xfId="0" applyFont="1" applyBorder="1" applyAlignment="1">
      <alignment horizontal="right" vertical="center" wrapText="1"/>
    </xf>
    <xf numFmtId="0" fontId="19" fillId="0" borderId="9" xfId="0" applyFont="1" applyBorder="1" applyAlignment="1">
      <alignment horizontal="right" vertical="center" wrapText="1"/>
    </xf>
    <xf numFmtId="171" fontId="11" fillId="4" borderId="0" xfId="0" applyNumberFormat="1" applyFont="1" applyFill="1" applyAlignment="1">
      <alignment horizontal="center" vertical="center"/>
    </xf>
    <xf numFmtId="173" fontId="4" fillId="4" borderId="0" xfId="0" applyNumberFormat="1" applyFont="1" applyFill="1" applyAlignment="1">
      <alignment horizontal="left" vertical="center"/>
    </xf>
  </cellXfs>
  <cellStyles count="5">
    <cellStyle name="Moeda" xfId="2" builtinId="4"/>
    <cellStyle name="Normal" xfId="0" builtinId="0"/>
    <cellStyle name="Normal 2" xfId="4" xr:uid="{7EED792B-6C0F-48AE-A418-22A0AB3EEB44}"/>
    <cellStyle name="Porcentagem" xfId="3" builtinId="5"/>
    <cellStyle name="Vírgula" xfId="1" builtin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9870E85D-9908-4A51-A659-E32A6BA0193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218237</xdr:colOff>
      <xdr:row>1</xdr:row>
      <xdr:rowOff>132493</xdr:rowOff>
    </xdr:from>
    <xdr:to>
      <xdr:col>4</xdr:col>
      <xdr:colOff>1088435</xdr:colOff>
      <xdr:row>2</xdr:row>
      <xdr:rowOff>178995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246E1D-D504-419B-BFEE-1C061F4C7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19" y="318231"/>
          <a:ext cx="1441698" cy="284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197826</xdr:colOff>
      <xdr:row>1</xdr:row>
      <xdr:rowOff>132493</xdr:rowOff>
    </xdr:from>
    <xdr:to>
      <xdr:col>4</xdr:col>
      <xdr:colOff>1068024</xdr:colOff>
      <xdr:row>2</xdr:row>
      <xdr:rowOff>178995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716EEB-550E-478D-ADA4-B111E77DA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51" y="322993"/>
          <a:ext cx="1441698" cy="284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55EE-6BA6-40F0-9CDB-3C90421DE379}">
  <sheetPr>
    <pageSetUpPr fitToPage="1"/>
  </sheetPr>
  <dimension ref="A1:O97"/>
  <sheetViews>
    <sheetView showGridLines="0" tabSelected="1" topLeftCell="A21" zoomScale="120" zoomScaleNormal="120" zoomScaleSheetLayoutView="130" workbookViewId="0">
      <selection activeCell="I53" sqref="I53"/>
    </sheetView>
  </sheetViews>
  <sheetFormatPr baseColWidth="10" defaultColWidth="0" defaultRowHeight="15" zeroHeight="1" x14ac:dyDescent="0.2"/>
  <cols>
    <col min="1" max="1" width="4.83203125" customWidth="1"/>
    <col min="2" max="2" width="1.33203125" customWidth="1"/>
    <col min="3" max="3" width="3.6640625" customWidth="1"/>
    <col min="4" max="4" width="8.5" customWidth="1"/>
    <col min="5" max="5" width="31.1640625" customWidth="1"/>
    <col min="6" max="6" width="16" customWidth="1"/>
    <col min="7" max="7" width="2" customWidth="1"/>
    <col min="8" max="8" width="11.6640625" customWidth="1"/>
    <col min="9" max="9" width="19" customWidth="1"/>
    <col min="10" max="10" width="18.83203125" customWidth="1"/>
    <col min="11" max="11" width="0.83203125" customWidth="1"/>
    <col min="12" max="12" width="13.83203125" customWidth="1"/>
    <col min="13" max="15" width="3.5" hidden="1" customWidth="1"/>
    <col min="16" max="16384" width="9.1640625" hidden="1"/>
  </cols>
  <sheetData>
    <row r="1" spans="1:12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.75" customHeight="1" x14ac:dyDescent="0.2">
      <c r="A2" s="41"/>
      <c r="B2" s="120"/>
      <c r="C2" s="121"/>
      <c r="D2" s="121"/>
      <c r="E2" s="121"/>
      <c r="F2" s="236"/>
      <c r="G2" s="236"/>
      <c r="H2" s="236"/>
      <c r="I2" s="236"/>
      <c r="J2" s="236"/>
      <c r="K2" s="122"/>
      <c r="L2" s="41"/>
    </row>
    <row r="3" spans="1:12" ht="21.75" customHeight="1" x14ac:dyDescent="0.2">
      <c r="A3" s="41"/>
      <c r="B3" s="123"/>
      <c r="C3" s="124"/>
      <c r="D3" s="124"/>
      <c r="E3" s="124"/>
      <c r="F3" s="237"/>
      <c r="G3" s="237"/>
      <c r="H3" s="237"/>
      <c r="I3" s="237"/>
      <c r="J3" s="237"/>
      <c r="K3" s="125"/>
      <c r="L3" s="41"/>
    </row>
    <row r="4" spans="1:12" ht="9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">
      <c r="A5" s="41"/>
      <c r="B5" s="233" t="s">
        <v>29</v>
      </c>
      <c r="C5" s="234"/>
      <c r="D5" s="234"/>
      <c r="E5" s="234"/>
      <c r="F5" s="234"/>
      <c r="G5" s="234"/>
      <c r="H5" s="234"/>
      <c r="I5" s="234"/>
      <c r="J5" s="234"/>
      <c r="K5" s="234"/>
      <c r="L5" s="41"/>
    </row>
    <row r="6" spans="1:12" ht="9" customHeight="1" x14ac:dyDescent="0.2">
      <c r="A6" s="40"/>
      <c r="B6" s="41"/>
      <c r="C6" s="41"/>
      <c r="D6" s="41"/>
      <c r="E6" s="41"/>
      <c r="F6" s="41"/>
      <c r="G6" s="41"/>
      <c r="H6" s="46"/>
      <c r="I6" s="46"/>
      <c r="J6" s="47"/>
      <c r="K6" s="40"/>
      <c r="L6" s="40"/>
    </row>
    <row r="7" spans="1:12" x14ac:dyDescent="0.2">
      <c r="A7" s="42"/>
      <c r="B7" s="3"/>
      <c r="C7" s="220" t="s">
        <v>0</v>
      </c>
      <c r="D7" s="221"/>
      <c r="E7" s="4" t="s">
        <v>1</v>
      </c>
      <c r="F7" s="5"/>
      <c r="G7" s="5"/>
      <c r="H7" s="6"/>
      <c r="I7" s="6"/>
      <c r="J7" s="5"/>
      <c r="K7" s="7"/>
      <c r="L7" s="42"/>
    </row>
    <row r="8" spans="1:12" ht="9" customHeight="1" x14ac:dyDescent="0.2">
      <c r="A8" s="42"/>
      <c r="B8" s="41"/>
      <c r="C8" s="41"/>
      <c r="D8" s="41"/>
      <c r="E8" s="41"/>
      <c r="F8" s="41"/>
      <c r="G8" s="41"/>
      <c r="H8" s="41"/>
      <c r="I8" s="41"/>
      <c r="J8" s="41"/>
      <c r="K8" s="42"/>
      <c r="L8" s="42"/>
    </row>
    <row r="9" spans="1:12" ht="6" customHeight="1" x14ac:dyDescent="0.2">
      <c r="A9" s="40"/>
      <c r="B9" s="11"/>
      <c r="C9" s="12"/>
      <c r="D9" s="12"/>
      <c r="E9" s="12"/>
      <c r="F9" s="12"/>
      <c r="G9" s="12"/>
      <c r="H9" s="12"/>
      <c r="I9" s="13"/>
      <c r="J9" s="49"/>
      <c r="K9" s="8"/>
      <c r="L9" s="40"/>
    </row>
    <row r="10" spans="1:12" x14ac:dyDescent="0.2">
      <c r="A10" s="40"/>
      <c r="B10" s="1"/>
      <c r="C10" s="58" t="s">
        <v>30</v>
      </c>
      <c r="D10" s="59"/>
      <c r="E10" s="235" t="s">
        <v>97</v>
      </c>
      <c r="F10" s="235"/>
      <c r="G10" s="110"/>
      <c r="H10" s="230" t="s">
        <v>34</v>
      </c>
      <c r="I10" s="230"/>
      <c r="J10" s="109" t="s">
        <v>92</v>
      </c>
      <c r="K10" s="14"/>
      <c r="L10" s="40"/>
    </row>
    <row r="11" spans="1:12" x14ac:dyDescent="0.2">
      <c r="A11" s="41"/>
      <c r="B11" s="51"/>
      <c r="C11" s="190" t="s">
        <v>43</v>
      </c>
      <c r="D11" s="56"/>
      <c r="E11" s="57"/>
      <c r="F11" s="76">
        <v>859900</v>
      </c>
      <c r="G11" s="76"/>
      <c r="H11" s="229" t="s">
        <v>35</v>
      </c>
      <c r="I11" s="229"/>
      <c r="J11" s="156" t="s">
        <v>70</v>
      </c>
      <c r="K11" s="24"/>
      <c r="L11" s="41"/>
    </row>
    <row r="12" spans="1:12" x14ac:dyDescent="0.2">
      <c r="A12" s="40"/>
      <c r="B12" s="51"/>
      <c r="C12" s="191" t="s">
        <v>49</v>
      </c>
      <c r="D12" s="102"/>
      <c r="E12" s="48"/>
      <c r="F12" s="186">
        <v>25000</v>
      </c>
      <c r="G12" s="103"/>
      <c r="H12" s="230" t="s">
        <v>32</v>
      </c>
      <c r="I12" s="230"/>
      <c r="J12" s="109" t="s">
        <v>33</v>
      </c>
      <c r="K12" s="14"/>
      <c r="L12" s="40"/>
    </row>
    <row r="13" spans="1:12" x14ac:dyDescent="0.2">
      <c r="A13" s="40"/>
      <c r="B13" s="51"/>
      <c r="C13" s="190" t="s">
        <v>31</v>
      </c>
      <c r="F13" s="111" t="s">
        <v>65</v>
      </c>
      <c r="G13" s="111"/>
      <c r="H13" s="229" t="s">
        <v>3</v>
      </c>
      <c r="I13" s="229"/>
      <c r="J13" s="126">
        <v>0.14399999999999999</v>
      </c>
      <c r="K13" s="24"/>
      <c r="L13" s="40"/>
    </row>
    <row r="14" spans="1:12" x14ac:dyDescent="0.2">
      <c r="A14" s="40"/>
      <c r="B14" s="51"/>
      <c r="C14" s="191" t="s">
        <v>42</v>
      </c>
      <c r="D14" s="102"/>
      <c r="E14" s="48"/>
      <c r="F14" s="187"/>
      <c r="G14" s="108"/>
      <c r="H14" s="230" t="s">
        <v>4</v>
      </c>
      <c r="I14" s="230"/>
      <c r="J14" s="114">
        <v>3.5000000000000001E-3</v>
      </c>
      <c r="K14" s="24"/>
      <c r="L14" s="40"/>
    </row>
    <row r="15" spans="1:12" x14ac:dyDescent="0.2">
      <c r="A15" s="40"/>
      <c r="B15" s="51"/>
      <c r="C15" s="190" t="s">
        <v>50</v>
      </c>
      <c r="D15" s="56"/>
      <c r="F15" s="155">
        <v>46161</v>
      </c>
      <c r="G15" s="113"/>
      <c r="H15" s="229" t="s">
        <v>51</v>
      </c>
      <c r="I15" s="229"/>
      <c r="J15" s="209">
        <v>5.0377999999999998</v>
      </c>
      <c r="K15" s="24"/>
      <c r="L15" s="40"/>
    </row>
    <row r="16" spans="1:12" ht="6" customHeight="1" x14ac:dyDescent="0.2">
      <c r="A16" s="40"/>
      <c r="B16" s="52"/>
      <c r="C16" s="53"/>
      <c r="D16" s="54"/>
      <c r="E16" s="55"/>
      <c r="F16" s="55"/>
      <c r="G16" s="55"/>
      <c r="H16" s="192"/>
      <c r="I16" s="231"/>
      <c r="J16" s="231"/>
      <c r="K16" s="16"/>
      <c r="L16" s="40"/>
    </row>
    <row r="17" spans="1:12" ht="9" customHeight="1" x14ac:dyDescent="0.2">
      <c r="A17" s="40"/>
      <c r="B17" s="41"/>
      <c r="C17" s="50"/>
      <c r="D17" s="50"/>
      <c r="E17" s="50"/>
      <c r="F17" s="50"/>
      <c r="G17" s="50"/>
      <c r="H17" s="50"/>
      <c r="I17" s="50"/>
      <c r="J17" s="50"/>
      <c r="K17" s="40"/>
      <c r="L17" s="40"/>
    </row>
    <row r="18" spans="1:12" x14ac:dyDescent="0.2">
      <c r="A18" s="40"/>
      <c r="B18" s="9"/>
      <c r="C18" s="220" t="s">
        <v>5</v>
      </c>
      <c r="D18" s="221"/>
      <c r="E18" s="4" t="s">
        <v>6</v>
      </c>
      <c r="F18" s="5"/>
      <c r="G18" s="5"/>
      <c r="H18" s="5"/>
      <c r="I18" s="222"/>
      <c r="J18" s="223"/>
      <c r="K18" s="10"/>
      <c r="L18" s="40"/>
    </row>
    <row r="19" spans="1:12" ht="9" customHeight="1" x14ac:dyDescent="0.2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0"/>
      <c r="L19" s="40"/>
    </row>
    <row r="20" spans="1:12" ht="6" customHeight="1" x14ac:dyDescent="0.2">
      <c r="A20" s="40"/>
      <c r="B20" s="11"/>
      <c r="C20" s="12"/>
      <c r="D20" s="12"/>
      <c r="E20" s="12"/>
      <c r="F20" s="12"/>
      <c r="G20" s="12"/>
      <c r="H20" s="12"/>
      <c r="I20" s="13"/>
      <c r="J20" s="49"/>
      <c r="K20" s="8"/>
      <c r="L20" s="40"/>
    </row>
    <row r="21" spans="1:12" x14ac:dyDescent="0.2">
      <c r="A21" s="40"/>
      <c r="B21" s="1"/>
      <c r="C21" s="58" t="s">
        <v>36</v>
      </c>
      <c r="D21" s="59"/>
      <c r="E21" s="59"/>
      <c r="F21" s="60"/>
      <c r="G21" s="60"/>
      <c r="H21" s="61"/>
      <c r="I21" s="62">
        <f>F11</f>
        <v>859900</v>
      </c>
      <c r="J21" s="63">
        <f>I21*J15</f>
        <v>4332004.22</v>
      </c>
      <c r="K21" s="14"/>
      <c r="L21" s="40"/>
    </row>
    <row r="22" spans="1:12" x14ac:dyDescent="0.2">
      <c r="A22" s="40"/>
      <c r="B22" s="1"/>
      <c r="C22" s="64" t="s">
        <v>7</v>
      </c>
      <c r="D22" s="65" t="s">
        <v>49</v>
      </c>
      <c r="E22" s="65"/>
      <c r="F22" s="127"/>
      <c r="G22" s="178"/>
      <c r="H22" s="193" t="s">
        <v>74</v>
      </c>
      <c r="I22" s="179">
        <f>F12</f>
        <v>25000</v>
      </c>
      <c r="J22" s="180">
        <f>I22*J15</f>
        <v>125945</v>
      </c>
      <c r="K22" s="14"/>
      <c r="L22" s="40"/>
    </row>
    <row r="23" spans="1:12" ht="16" thickBot="1" x14ac:dyDescent="0.25">
      <c r="A23" s="40"/>
      <c r="B23" s="1"/>
      <c r="C23" s="89" t="s">
        <v>7</v>
      </c>
      <c r="D23" s="90" t="s">
        <v>63</v>
      </c>
      <c r="E23" s="90"/>
      <c r="F23" s="232" t="s">
        <v>52</v>
      </c>
      <c r="G23" s="232"/>
      <c r="H23" s="232"/>
      <c r="I23" s="91">
        <f>J23/$J$15</f>
        <v>267.97411568541827</v>
      </c>
      <c r="J23" s="92">
        <v>1350</v>
      </c>
      <c r="K23" s="14"/>
      <c r="L23" s="40"/>
    </row>
    <row r="24" spans="1:12" ht="16" thickTop="1" x14ac:dyDescent="0.2">
      <c r="A24" s="40"/>
      <c r="B24" s="1"/>
      <c r="C24" s="83" t="s">
        <v>8</v>
      </c>
      <c r="D24" s="84" t="s">
        <v>9</v>
      </c>
      <c r="E24" s="84"/>
      <c r="F24" s="84"/>
      <c r="G24" s="84"/>
      <c r="H24" s="84"/>
      <c r="I24" s="85">
        <f>SUM(I21:I23)</f>
        <v>885167.97411568544</v>
      </c>
      <c r="J24" s="86">
        <f>SUM(J21:J23)</f>
        <v>4459299.22</v>
      </c>
      <c r="K24" s="14"/>
      <c r="L24" s="40"/>
    </row>
    <row r="25" spans="1:12" ht="6" customHeight="1" x14ac:dyDescent="0.2">
      <c r="A25" s="40"/>
      <c r="B25" s="2"/>
      <c r="C25" s="15"/>
      <c r="D25" s="15"/>
      <c r="E25" s="15"/>
      <c r="F25" s="15"/>
      <c r="G25" s="15"/>
      <c r="H25" s="15"/>
      <c r="I25" s="15"/>
      <c r="J25" s="15"/>
      <c r="K25" s="16"/>
      <c r="L25" s="40"/>
    </row>
    <row r="26" spans="1:12" ht="9" customHeight="1" x14ac:dyDescent="0.2">
      <c r="A26" s="40"/>
      <c r="B26" s="41"/>
      <c r="C26" s="50"/>
      <c r="D26" s="50"/>
      <c r="E26" s="50"/>
      <c r="F26" s="50"/>
      <c r="G26" s="50"/>
      <c r="H26" s="50"/>
      <c r="I26" s="50"/>
      <c r="J26" s="50"/>
      <c r="K26" s="40"/>
      <c r="L26" s="40"/>
    </row>
    <row r="27" spans="1:12" x14ac:dyDescent="0.2">
      <c r="A27" s="40"/>
      <c r="B27" s="9"/>
      <c r="C27" s="220" t="s">
        <v>10</v>
      </c>
      <c r="D27" s="221"/>
      <c r="E27" s="4" t="s">
        <v>11</v>
      </c>
      <c r="F27" s="5"/>
      <c r="G27" s="5"/>
      <c r="H27" s="5"/>
      <c r="I27" s="222"/>
      <c r="J27" s="223"/>
      <c r="K27" s="17"/>
      <c r="L27" s="40"/>
    </row>
    <row r="28" spans="1:12" ht="9" customHeight="1" x14ac:dyDescent="0.2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0"/>
      <c r="L28" s="40"/>
    </row>
    <row r="29" spans="1:12" ht="6" customHeight="1" x14ac:dyDescent="0.2">
      <c r="A29" s="40"/>
      <c r="B29" s="18"/>
      <c r="C29" s="19"/>
      <c r="D29" s="19"/>
      <c r="E29" s="19"/>
      <c r="F29" s="19"/>
      <c r="G29" s="19"/>
      <c r="H29" s="67"/>
      <c r="I29" s="20"/>
      <c r="J29" s="21"/>
      <c r="K29" s="22"/>
      <c r="L29" s="40"/>
    </row>
    <row r="30" spans="1:12" x14ac:dyDescent="0.2">
      <c r="A30" s="40"/>
      <c r="B30" s="23"/>
      <c r="C30" s="119" t="s">
        <v>7</v>
      </c>
      <c r="D30" s="38" t="s">
        <v>12</v>
      </c>
      <c r="E30" s="38"/>
      <c r="F30" s="38"/>
      <c r="G30" s="38"/>
      <c r="H30" s="117">
        <v>0</v>
      </c>
      <c r="I30" s="78">
        <f>J30/$J$15</f>
        <v>0</v>
      </c>
      <c r="J30" s="79">
        <f>$H$30*J24</f>
        <v>0</v>
      </c>
      <c r="K30" s="24"/>
      <c r="L30" s="40"/>
    </row>
    <row r="31" spans="1:12" x14ac:dyDescent="0.2">
      <c r="A31" s="40"/>
      <c r="B31" s="23"/>
      <c r="C31" s="64" t="s">
        <v>7</v>
      </c>
      <c r="D31" s="75" t="s">
        <v>13</v>
      </c>
      <c r="E31" s="75"/>
      <c r="F31" s="75"/>
      <c r="G31" s="75"/>
      <c r="H31" s="197">
        <v>6.5000000000000002E-2</v>
      </c>
      <c r="I31" s="76">
        <f>J31/$J$15</f>
        <v>57535.91831751955</v>
      </c>
      <c r="J31" s="77">
        <f>$H$31*(J24+J30)</f>
        <v>289854.44929999998</v>
      </c>
      <c r="K31" s="24"/>
      <c r="L31" s="40"/>
    </row>
    <row r="32" spans="1:12" x14ac:dyDescent="0.2">
      <c r="A32" s="40"/>
      <c r="B32" s="23"/>
      <c r="C32" s="119" t="s">
        <v>7</v>
      </c>
      <c r="D32" s="38" t="s">
        <v>81</v>
      </c>
      <c r="E32" s="38"/>
      <c r="F32" s="78"/>
      <c r="G32" s="38"/>
      <c r="H32" s="117">
        <f>(2.1%)*10%</f>
        <v>2.1000000000000003E-3</v>
      </c>
      <c r="I32" s="78">
        <f>I24*H32</f>
        <v>1858.8527456429397</v>
      </c>
      <c r="J32" s="79">
        <f>I32*J15</f>
        <v>9364.5283620000009</v>
      </c>
      <c r="K32" s="24"/>
      <c r="L32" s="40"/>
    </row>
    <row r="33" spans="1:12" ht="16" thickBot="1" x14ac:dyDescent="0.25">
      <c r="A33" s="40"/>
      <c r="B33" s="23"/>
      <c r="C33" s="118" t="s">
        <v>7</v>
      </c>
      <c r="D33" s="104" t="s">
        <v>80</v>
      </c>
      <c r="E33" s="104"/>
      <c r="F33" s="105"/>
      <c r="G33" s="104"/>
      <c r="H33" s="208">
        <f>(9.65%)*10%</f>
        <v>9.6500000000000006E-3</v>
      </c>
      <c r="I33" s="105">
        <f>I24*H33</f>
        <v>8541.8709502163656</v>
      </c>
      <c r="J33" s="106">
        <f>I33*J15</f>
        <v>43032.237473000008</v>
      </c>
      <c r="K33" s="24"/>
      <c r="L33" s="40"/>
    </row>
    <row r="34" spans="1:12" ht="16" thickTop="1" x14ac:dyDescent="0.2">
      <c r="A34" s="40"/>
      <c r="B34" s="23"/>
      <c r="C34" s="97" t="s">
        <v>8</v>
      </c>
      <c r="D34" s="39" t="s">
        <v>14</v>
      </c>
      <c r="E34" s="39"/>
      <c r="F34" s="39"/>
      <c r="G34" s="39"/>
      <c r="H34" s="107"/>
      <c r="I34" s="62">
        <f>SUM(I30:I33)</f>
        <v>67936.642013378849</v>
      </c>
      <c r="J34" s="66">
        <f>SUM(J30:J33)</f>
        <v>342251.21513500001</v>
      </c>
      <c r="K34" s="25"/>
      <c r="L34" s="40"/>
    </row>
    <row r="35" spans="1:12" ht="6" customHeight="1" x14ac:dyDescent="0.2">
      <c r="A35" s="40"/>
      <c r="B35" s="26"/>
      <c r="C35" s="27"/>
      <c r="D35" s="27"/>
      <c r="E35" s="27"/>
      <c r="F35" s="27"/>
      <c r="G35" s="27"/>
      <c r="H35" s="27"/>
      <c r="I35" s="27"/>
      <c r="J35" s="27"/>
      <c r="K35" s="16"/>
      <c r="L35" s="40"/>
    </row>
    <row r="36" spans="1:12" ht="9" customHeight="1" x14ac:dyDescent="0.2">
      <c r="A36" s="40"/>
      <c r="B36" s="38"/>
      <c r="C36" s="38"/>
      <c r="D36" s="38"/>
      <c r="E36" s="38"/>
      <c r="F36" s="38"/>
      <c r="G36" s="38"/>
      <c r="H36" s="38"/>
      <c r="I36" s="38"/>
      <c r="J36" s="38"/>
      <c r="K36" s="40"/>
      <c r="L36" s="40"/>
    </row>
    <row r="37" spans="1:12" x14ac:dyDescent="0.2">
      <c r="A37" s="40"/>
      <c r="B37" s="9"/>
      <c r="C37" s="220" t="s">
        <v>15</v>
      </c>
      <c r="D37" s="221"/>
      <c r="E37" s="4" t="s">
        <v>44</v>
      </c>
      <c r="F37" s="5"/>
      <c r="G37" s="5"/>
      <c r="H37" s="5"/>
      <c r="I37" s="222"/>
      <c r="J37" s="223"/>
      <c r="K37" s="17"/>
      <c r="L37" s="40"/>
    </row>
    <row r="38" spans="1:12" ht="9" customHeight="1" x14ac:dyDescent="0.2">
      <c r="A38" s="40"/>
      <c r="B38" s="38"/>
      <c r="C38" s="38"/>
      <c r="D38" s="38"/>
      <c r="E38" s="38"/>
      <c r="F38" s="38"/>
      <c r="G38" s="38"/>
      <c r="H38" s="38"/>
      <c r="I38" s="38"/>
      <c r="J38" s="38"/>
      <c r="K38" s="40"/>
      <c r="L38" s="40"/>
    </row>
    <row r="39" spans="1:12" ht="6" customHeight="1" x14ac:dyDescent="0.2">
      <c r="A39" s="40"/>
      <c r="B39" s="18"/>
      <c r="C39" s="19"/>
      <c r="D39" s="19"/>
      <c r="E39" s="19"/>
      <c r="F39" s="19"/>
      <c r="G39" s="19"/>
      <c r="H39" s="68"/>
      <c r="I39" s="20"/>
      <c r="J39" s="21"/>
      <c r="K39" s="22"/>
      <c r="L39" s="40"/>
    </row>
    <row r="40" spans="1:12" ht="14.25" customHeight="1" x14ac:dyDescent="0.2">
      <c r="A40" s="40"/>
      <c r="B40" s="23"/>
      <c r="C40" s="142"/>
      <c r="D40" s="142" t="s">
        <v>57</v>
      </c>
      <c r="E40" s="145"/>
      <c r="F40" s="142"/>
      <c r="G40" s="142"/>
      <c r="H40" s="128" t="s">
        <v>91</v>
      </c>
      <c r="I40" s="143">
        <v>1800</v>
      </c>
      <c r="J40" s="144">
        <f>I40*$J$15</f>
        <v>9068.0399999999991</v>
      </c>
      <c r="K40" s="24"/>
      <c r="L40" s="40"/>
    </row>
    <row r="41" spans="1:12" ht="14.25" customHeight="1" x14ac:dyDescent="0.2">
      <c r="A41" s="40"/>
      <c r="B41" s="23"/>
      <c r="C41" s="134"/>
      <c r="D41" s="134" t="s">
        <v>88</v>
      </c>
      <c r="E41" s="134"/>
      <c r="F41" s="134"/>
      <c r="G41" s="134"/>
      <c r="H41" s="210" t="s">
        <v>52</v>
      </c>
      <c r="I41" s="136">
        <v>14000</v>
      </c>
      <c r="J41" s="137">
        <f>I41*$J$15</f>
        <v>70529.2</v>
      </c>
      <c r="K41" s="24"/>
      <c r="L41" s="40"/>
    </row>
    <row r="42" spans="1:12" ht="14.25" customHeight="1" x14ac:dyDescent="0.2">
      <c r="A42" s="40"/>
      <c r="B42" s="23"/>
      <c r="C42" s="142"/>
      <c r="D42" s="142" t="s">
        <v>89</v>
      </c>
      <c r="E42" s="145"/>
      <c r="F42" s="142"/>
      <c r="G42" s="142"/>
      <c r="H42" s="128" t="s">
        <v>52</v>
      </c>
      <c r="I42" s="143">
        <v>4000</v>
      </c>
      <c r="J42" s="144">
        <f>I42*$J$15</f>
        <v>20151.2</v>
      </c>
      <c r="K42" s="24"/>
      <c r="L42" s="40"/>
    </row>
    <row r="43" spans="1:12" ht="14.25" customHeight="1" x14ac:dyDescent="0.2">
      <c r="A43" s="40"/>
      <c r="B43" s="23"/>
      <c r="C43" s="134"/>
      <c r="D43" s="134" t="s">
        <v>84</v>
      </c>
      <c r="E43" s="134"/>
      <c r="F43" s="134"/>
      <c r="G43" s="134"/>
      <c r="H43" s="210" t="s">
        <v>52</v>
      </c>
      <c r="I43" s="136">
        <v>6500</v>
      </c>
      <c r="J43" s="137">
        <f>I43*$J$15</f>
        <v>32745.7</v>
      </c>
      <c r="K43" s="24"/>
      <c r="L43" s="40"/>
    </row>
    <row r="44" spans="1:12" ht="14.25" customHeight="1" x14ac:dyDescent="0.2">
      <c r="A44" s="40"/>
      <c r="B44" s="23"/>
      <c r="C44" s="142"/>
      <c r="D44" s="142" t="s">
        <v>77</v>
      </c>
      <c r="E44" s="145"/>
      <c r="F44" s="142"/>
      <c r="G44" s="142"/>
      <c r="H44" s="128" t="s">
        <v>53</v>
      </c>
      <c r="I44" s="143">
        <v>0</v>
      </c>
      <c r="J44" s="144">
        <v>0</v>
      </c>
      <c r="K44" s="24"/>
      <c r="L44" s="40"/>
    </row>
    <row r="45" spans="1:12" ht="14.25" customHeight="1" x14ac:dyDescent="0.2">
      <c r="A45" s="40"/>
      <c r="B45" s="23"/>
      <c r="C45" s="134"/>
      <c r="D45" s="134" t="s">
        <v>90</v>
      </c>
      <c r="E45" s="134"/>
      <c r="F45" s="134"/>
      <c r="G45" s="134"/>
      <c r="H45" s="210" t="s">
        <v>94</v>
      </c>
      <c r="I45" s="136">
        <v>0</v>
      </c>
      <c r="J45" s="137">
        <v>0</v>
      </c>
      <c r="K45" s="24"/>
      <c r="L45" s="40"/>
    </row>
    <row r="46" spans="1:12" ht="14.25" customHeight="1" x14ac:dyDescent="0.2">
      <c r="A46" s="40"/>
      <c r="B46" s="23"/>
      <c r="C46" s="142"/>
      <c r="D46" s="142" t="s">
        <v>85</v>
      </c>
      <c r="E46" s="145"/>
      <c r="F46" s="142"/>
      <c r="G46" s="142"/>
      <c r="H46" s="128" t="s">
        <v>72</v>
      </c>
      <c r="I46" s="143">
        <v>5000</v>
      </c>
      <c r="J46" s="144">
        <f>I46*$J$15</f>
        <v>25189</v>
      </c>
      <c r="K46" s="24"/>
      <c r="L46" s="40"/>
    </row>
    <row r="47" spans="1:12" ht="14.25" customHeight="1" x14ac:dyDescent="0.2">
      <c r="A47" s="40"/>
      <c r="B47" s="23"/>
      <c r="C47" s="134"/>
      <c r="D47" s="134" t="s">
        <v>64</v>
      </c>
      <c r="E47" s="134"/>
      <c r="F47" s="134"/>
      <c r="G47" s="134"/>
      <c r="H47" s="210"/>
      <c r="I47" s="136">
        <f t="shared" ref="I47:I51" si="0">J47/$J$15</f>
        <v>1400.0158799475962</v>
      </c>
      <c r="J47" s="137">
        <v>7053</v>
      </c>
      <c r="K47" s="24"/>
      <c r="L47" s="40"/>
    </row>
    <row r="48" spans="1:12" ht="14.25" customHeight="1" x14ac:dyDescent="0.2">
      <c r="A48" s="40"/>
      <c r="B48" s="23"/>
      <c r="C48" s="142"/>
      <c r="D48" s="142" t="s">
        <v>58</v>
      </c>
      <c r="E48" s="145"/>
      <c r="F48" s="142"/>
      <c r="G48" s="142"/>
      <c r="H48" s="128" t="s">
        <v>52</v>
      </c>
      <c r="I48" s="143">
        <f t="shared" si="0"/>
        <v>208.42431219976976</v>
      </c>
      <c r="J48" s="144">
        <v>1050</v>
      </c>
      <c r="K48" s="24"/>
      <c r="L48" s="40"/>
    </row>
    <row r="49" spans="1:12" ht="14.25" customHeight="1" x14ac:dyDescent="0.2">
      <c r="A49" s="40"/>
      <c r="B49" s="23"/>
      <c r="C49" s="134"/>
      <c r="D49" s="134" t="s">
        <v>86</v>
      </c>
      <c r="E49" s="134"/>
      <c r="F49" s="134"/>
      <c r="G49" s="134"/>
      <c r="H49" s="210" t="s">
        <v>52</v>
      </c>
      <c r="I49" s="136">
        <f t="shared" si="0"/>
        <v>238.19921394259399</v>
      </c>
      <c r="J49" s="137">
        <v>1200</v>
      </c>
      <c r="K49" s="24"/>
      <c r="L49" s="40"/>
    </row>
    <row r="50" spans="1:12" ht="14.25" customHeight="1" x14ac:dyDescent="0.2">
      <c r="A50" s="40"/>
      <c r="B50" s="23"/>
      <c r="C50" s="142"/>
      <c r="D50" s="142" t="s">
        <v>56</v>
      </c>
      <c r="E50" s="145"/>
      <c r="F50" s="142"/>
      <c r="G50" s="142"/>
      <c r="H50" s="128"/>
      <c r="I50" s="143">
        <f t="shared" si="0"/>
        <v>158.79947596172934</v>
      </c>
      <c r="J50" s="144">
        <v>800</v>
      </c>
      <c r="K50" s="24"/>
      <c r="L50" s="40"/>
    </row>
    <row r="51" spans="1:12" ht="14.25" customHeight="1" x14ac:dyDescent="0.2">
      <c r="A51" s="40"/>
      <c r="B51" s="23"/>
      <c r="C51" s="134"/>
      <c r="D51" s="134" t="s">
        <v>59</v>
      </c>
      <c r="E51" s="134"/>
      <c r="F51" s="134"/>
      <c r="G51" s="134"/>
      <c r="H51" s="210"/>
      <c r="I51" s="136">
        <f t="shared" si="0"/>
        <v>30.61455397197189</v>
      </c>
      <c r="J51" s="137">
        <v>154.22999999999999</v>
      </c>
      <c r="K51" s="24"/>
      <c r="L51" s="40"/>
    </row>
    <row r="52" spans="1:12" ht="14.25" customHeight="1" x14ac:dyDescent="0.2">
      <c r="A52" s="40"/>
      <c r="B52" s="23"/>
      <c r="C52" s="217"/>
      <c r="D52" s="142" t="s">
        <v>96</v>
      </c>
      <c r="E52" s="217"/>
      <c r="F52" s="217"/>
      <c r="G52" s="217"/>
      <c r="H52" s="218" t="s">
        <v>95</v>
      </c>
      <c r="I52" s="143">
        <f>F11*0.03</f>
        <v>25797</v>
      </c>
      <c r="J52" s="144">
        <f>I52*J15</f>
        <v>129960.12659999999</v>
      </c>
      <c r="K52" s="24"/>
      <c r="L52" s="40"/>
    </row>
    <row r="53" spans="1:12" ht="14.25" customHeight="1" thickBot="1" x14ac:dyDescent="0.25">
      <c r="A53" s="40"/>
      <c r="B53" s="23"/>
      <c r="C53" s="158"/>
      <c r="D53" s="158" t="s">
        <v>60</v>
      </c>
      <c r="E53" s="158"/>
      <c r="F53" s="158"/>
      <c r="G53" s="158"/>
      <c r="H53" s="159" t="s">
        <v>87</v>
      </c>
      <c r="I53" s="160">
        <v>5500</v>
      </c>
      <c r="J53" s="161">
        <f>I53*J15</f>
        <v>27707.899999999998</v>
      </c>
      <c r="K53" s="24"/>
      <c r="L53" s="40"/>
    </row>
    <row r="54" spans="1:12" ht="15.75" customHeight="1" thickTop="1" x14ac:dyDescent="0.2">
      <c r="A54" s="40"/>
      <c r="B54" s="23"/>
      <c r="C54" s="97" t="s">
        <v>8</v>
      </c>
      <c r="D54" s="39" t="s">
        <v>16</v>
      </c>
      <c r="E54" s="38"/>
      <c r="F54" s="38"/>
      <c r="G54" s="38"/>
      <c r="H54" s="216"/>
      <c r="I54" s="62">
        <f>SUM(I40:I53)</f>
        <v>64633.053436023663</v>
      </c>
      <c r="J54" s="66">
        <f>SUM(J40:J53)</f>
        <v>325608.39659999998</v>
      </c>
      <c r="K54" s="24"/>
      <c r="L54" s="40"/>
    </row>
    <row r="55" spans="1:12" ht="6" customHeight="1" x14ac:dyDescent="0.2">
      <c r="A55" s="40"/>
      <c r="B55" s="28"/>
      <c r="C55" s="27"/>
      <c r="D55" s="27"/>
      <c r="E55" s="27"/>
      <c r="F55" s="27"/>
      <c r="G55" s="27"/>
      <c r="H55" s="27"/>
      <c r="I55" s="27"/>
      <c r="J55" s="27"/>
      <c r="K55" s="16"/>
      <c r="L55" s="40"/>
    </row>
    <row r="56" spans="1:12" ht="9" customHeight="1" x14ac:dyDescent="0.2">
      <c r="A56" s="40"/>
      <c r="B56" s="38"/>
      <c r="C56" s="38"/>
      <c r="D56" s="38"/>
      <c r="E56" s="38"/>
      <c r="F56" s="38"/>
      <c r="G56" s="38"/>
      <c r="H56" s="38"/>
      <c r="I56" s="38"/>
      <c r="J56" s="38"/>
      <c r="K56" s="40"/>
      <c r="L56" s="40"/>
    </row>
    <row r="57" spans="1:12" x14ac:dyDescent="0.2">
      <c r="A57" s="40"/>
      <c r="B57" s="9"/>
      <c r="C57" s="220" t="s">
        <v>17</v>
      </c>
      <c r="D57" s="221"/>
      <c r="E57" s="4" t="s">
        <v>18</v>
      </c>
      <c r="F57" s="5"/>
      <c r="G57" s="5"/>
      <c r="H57" s="5"/>
      <c r="I57" s="222"/>
      <c r="J57" s="223"/>
      <c r="K57" s="17"/>
      <c r="L57" s="40"/>
    </row>
    <row r="58" spans="1:12" ht="9" customHeight="1" x14ac:dyDescent="0.2">
      <c r="A58" s="40"/>
      <c r="B58" s="38"/>
      <c r="C58" s="38"/>
      <c r="D58" s="38"/>
      <c r="E58" s="38"/>
      <c r="F58" s="38"/>
      <c r="G58" s="38"/>
      <c r="H58" s="38"/>
      <c r="I58" s="38"/>
      <c r="J58" s="38"/>
      <c r="K58" s="40"/>
      <c r="L58" s="40"/>
    </row>
    <row r="59" spans="1:12" ht="4.5" customHeight="1" x14ac:dyDescent="0.2">
      <c r="A59" s="40"/>
      <c r="B59" s="18"/>
      <c r="C59" s="19"/>
      <c r="D59" s="19"/>
      <c r="E59" s="19"/>
      <c r="F59" s="29"/>
      <c r="G59" s="29"/>
      <c r="H59" s="30"/>
      <c r="I59" s="20"/>
      <c r="J59" s="21"/>
      <c r="K59" s="22"/>
      <c r="L59" s="40"/>
    </row>
    <row r="60" spans="1:12" ht="12.75" customHeight="1" x14ac:dyDescent="0.2">
      <c r="A60" s="40"/>
      <c r="B60" s="23"/>
      <c r="C60" s="75"/>
      <c r="D60" s="75"/>
      <c r="E60" s="75"/>
      <c r="F60" s="154" t="s">
        <v>66</v>
      </c>
      <c r="G60" s="226">
        <v>7.4999999999999997E-2</v>
      </c>
      <c r="H60" s="226"/>
      <c r="K60" s="24"/>
      <c r="L60" s="40"/>
    </row>
    <row r="61" spans="1:12" ht="3.75" customHeight="1" x14ac:dyDescent="0.2">
      <c r="A61" s="40"/>
      <c r="B61" s="23"/>
      <c r="C61" s="75"/>
      <c r="D61" s="75"/>
      <c r="E61" s="75"/>
      <c r="F61" s="151"/>
      <c r="G61" s="151"/>
      <c r="H61" s="88"/>
      <c r="I61" s="76"/>
      <c r="J61" s="77"/>
      <c r="K61" s="24"/>
      <c r="L61" s="40"/>
    </row>
    <row r="62" spans="1:12" x14ac:dyDescent="0.2">
      <c r="A62" s="98"/>
      <c r="B62" s="23"/>
      <c r="C62" s="75"/>
      <c r="D62" s="227">
        <v>0</v>
      </c>
      <c r="E62" s="227"/>
      <c r="F62" s="87">
        <v>0</v>
      </c>
      <c r="G62" s="168"/>
      <c r="H62" s="88">
        <f>($G$60/360)*F62</f>
        <v>0</v>
      </c>
      <c r="I62" s="76">
        <f t="shared" ref="I62:I63" si="1">D62*H62</f>
        <v>0</v>
      </c>
      <c r="J62" s="77">
        <f t="shared" ref="J62:J66" si="2">I62*$J$15</f>
        <v>0</v>
      </c>
      <c r="K62" s="24"/>
      <c r="L62" s="98"/>
    </row>
    <row r="63" spans="1:12" x14ac:dyDescent="0.2">
      <c r="A63" s="98"/>
      <c r="B63" s="23"/>
      <c r="C63" s="38"/>
      <c r="D63" s="228">
        <f>F11</f>
        <v>859900</v>
      </c>
      <c r="E63" s="228"/>
      <c r="F63" s="82">
        <v>0</v>
      </c>
      <c r="G63" s="167"/>
      <c r="H63" s="69">
        <f>($G$60/360)*F63</f>
        <v>0</v>
      </c>
      <c r="I63" s="78">
        <f t="shared" si="1"/>
        <v>0</v>
      </c>
      <c r="J63" s="79">
        <f>I63*$J$15</f>
        <v>0</v>
      </c>
      <c r="K63" s="24"/>
      <c r="L63" s="98"/>
    </row>
    <row r="64" spans="1:12" x14ac:dyDescent="0.2">
      <c r="A64" s="98"/>
      <c r="B64" s="23"/>
      <c r="C64" s="75"/>
      <c r="D64" s="75" t="s">
        <v>46</v>
      </c>
      <c r="E64" s="75"/>
      <c r="F64" s="87">
        <v>0</v>
      </c>
      <c r="G64" s="168">
        <f>ROUNDUP((F64/30*22),0)</f>
        <v>0</v>
      </c>
      <c r="H64" s="88">
        <f>(((1+$J$13)^(G64/252))*((1+$J$14)^(F64/30))-1)</f>
        <v>0</v>
      </c>
      <c r="I64" s="76">
        <f>H64*I34</f>
        <v>0</v>
      </c>
      <c r="J64" s="77">
        <f t="shared" si="2"/>
        <v>0</v>
      </c>
      <c r="K64" s="24"/>
      <c r="L64" s="98"/>
    </row>
    <row r="65" spans="1:12" x14ac:dyDescent="0.2">
      <c r="A65" s="98"/>
      <c r="B65" s="23"/>
      <c r="C65" s="38"/>
      <c r="D65" s="38" t="s">
        <v>45</v>
      </c>
      <c r="E65" s="38"/>
      <c r="F65" s="82">
        <v>0</v>
      </c>
      <c r="G65" s="167">
        <f t="shared" ref="G65:G66" si="3">ROUNDUP((F65/30*22),0)</f>
        <v>0</v>
      </c>
      <c r="H65" s="69">
        <f>(((1+$J$13)^(G65/252))*((1+$J$14)^(F65/30))-1)</f>
        <v>0</v>
      </c>
      <c r="I65" s="78">
        <f ca="1">H65*(I89-I34-I21)</f>
        <v>0</v>
      </c>
      <c r="J65" s="79">
        <f t="shared" ca="1" si="2"/>
        <v>0</v>
      </c>
      <c r="K65" s="24"/>
      <c r="L65" s="98"/>
    </row>
    <row r="66" spans="1:12" ht="16" thickBot="1" x14ac:dyDescent="0.25">
      <c r="A66" s="40"/>
      <c r="B66" s="23"/>
      <c r="C66" s="172"/>
      <c r="D66" s="172" t="s">
        <v>38</v>
      </c>
      <c r="E66" s="172"/>
      <c r="F66" s="173">
        <v>0</v>
      </c>
      <c r="G66" s="174">
        <f t="shared" si="3"/>
        <v>0</v>
      </c>
      <c r="H66" s="175">
        <f>(((1+$J$13)^(G66/252))*((1+$J$14)^(F66/30))-1)</f>
        <v>0</v>
      </c>
      <c r="I66" s="176">
        <v>0</v>
      </c>
      <c r="J66" s="177">
        <f t="shared" si="2"/>
        <v>0</v>
      </c>
      <c r="K66" s="24" t="s">
        <v>19</v>
      </c>
      <c r="L66" s="40"/>
    </row>
    <row r="67" spans="1:12" ht="16" thickTop="1" x14ac:dyDescent="0.2">
      <c r="A67" s="40"/>
      <c r="B67" s="23"/>
      <c r="C67" s="97" t="s">
        <v>8</v>
      </c>
      <c r="D67" s="39" t="s">
        <v>20</v>
      </c>
      <c r="E67" s="39"/>
      <c r="F67" s="170"/>
      <c r="G67" s="170"/>
      <c r="H67" s="171"/>
      <c r="I67" s="72">
        <f ca="1">SUM(I62:I66)</f>
        <v>0</v>
      </c>
      <c r="J67" s="73">
        <f ca="1">SUM(J62:J66)</f>
        <v>0</v>
      </c>
      <c r="K67" s="25"/>
      <c r="L67" s="40"/>
    </row>
    <row r="68" spans="1:12" ht="3.75" customHeight="1" x14ac:dyDescent="0.2">
      <c r="A68" s="40"/>
      <c r="B68" s="28"/>
      <c r="C68" s="27"/>
      <c r="D68" s="27"/>
      <c r="E68" s="27"/>
      <c r="F68" s="27"/>
      <c r="G68" s="27"/>
      <c r="H68" s="27"/>
      <c r="I68" s="27"/>
      <c r="J68" s="27"/>
      <c r="K68" s="16"/>
      <c r="L68" s="40"/>
    </row>
    <row r="69" spans="1:12" ht="9" customHeight="1" x14ac:dyDescent="0.2">
      <c r="A69" s="40"/>
      <c r="B69" s="38"/>
      <c r="C69" s="38"/>
      <c r="D69" s="38"/>
      <c r="E69" s="38"/>
      <c r="F69" s="38"/>
      <c r="G69" s="38"/>
      <c r="H69" s="38"/>
      <c r="I69" s="38"/>
      <c r="J69" s="38"/>
      <c r="K69" s="40"/>
      <c r="L69" s="40"/>
    </row>
    <row r="70" spans="1:12" x14ac:dyDescent="0.2">
      <c r="A70" s="40"/>
      <c r="B70" s="9"/>
      <c r="C70" s="220" t="s">
        <v>21</v>
      </c>
      <c r="D70" s="221"/>
      <c r="E70" s="4" t="s">
        <v>22</v>
      </c>
      <c r="F70" s="5"/>
      <c r="G70" s="5"/>
      <c r="H70" s="5"/>
      <c r="I70" s="222"/>
      <c r="J70" s="223"/>
      <c r="K70" s="17"/>
      <c r="L70" s="40"/>
    </row>
    <row r="71" spans="1:12" ht="9" customHeight="1" x14ac:dyDescent="0.2">
      <c r="A71" s="40"/>
      <c r="B71" s="38"/>
      <c r="C71" s="38"/>
      <c r="D71" s="38"/>
      <c r="E71" s="38"/>
      <c r="F71" s="38"/>
      <c r="G71" s="38"/>
      <c r="H71" s="38"/>
      <c r="I71" s="38"/>
      <c r="J71" s="38"/>
      <c r="K71" s="40"/>
      <c r="L71" s="40"/>
    </row>
    <row r="72" spans="1:12" ht="6" customHeight="1" x14ac:dyDescent="0.2">
      <c r="A72" s="40"/>
      <c r="B72" s="31"/>
      <c r="C72" s="19"/>
      <c r="D72" s="19"/>
      <c r="E72" s="19"/>
      <c r="F72" s="19"/>
      <c r="G72" s="19"/>
      <c r="H72" s="19"/>
      <c r="I72" s="19"/>
      <c r="J72" s="19"/>
      <c r="K72" s="22"/>
      <c r="L72" s="40"/>
    </row>
    <row r="73" spans="1:12" x14ac:dyDescent="0.2">
      <c r="A73" s="40"/>
      <c r="B73" s="23"/>
      <c r="C73" s="39" t="s">
        <v>23</v>
      </c>
      <c r="D73" s="39"/>
      <c r="E73" s="39"/>
      <c r="F73" s="39"/>
      <c r="G73" s="39"/>
      <c r="H73" s="39"/>
      <c r="I73" s="72">
        <f ca="1">I24+I34+I54+I67</f>
        <v>1017737.6695650879</v>
      </c>
      <c r="J73" s="73">
        <f ca="1">J24+J34+J54+J67</f>
        <v>5127158.8317349991</v>
      </c>
      <c r="K73" s="24"/>
      <c r="L73" s="40"/>
    </row>
    <row r="74" spans="1:12" x14ac:dyDescent="0.2">
      <c r="A74" s="40"/>
      <c r="B74" s="23"/>
      <c r="C74" s="74" t="s">
        <v>24</v>
      </c>
      <c r="D74" s="75" t="s">
        <v>25</v>
      </c>
      <c r="E74" s="75"/>
      <c r="F74" s="75"/>
      <c r="G74" s="75"/>
      <c r="H74" s="75"/>
      <c r="I74" s="76">
        <f>-I31</f>
        <v>-57535.91831751955</v>
      </c>
      <c r="J74" s="77">
        <f>-J31</f>
        <v>-289854.44929999998</v>
      </c>
      <c r="K74" s="24"/>
      <c r="L74" s="40"/>
    </row>
    <row r="75" spans="1:12" ht="16" thickBot="1" x14ac:dyDescent="0.25">
      <c r="A75" s="40"/>
      <c r="B75" s="32"/>
      <c r="C75" s="138" t="s">
        <v>8</v>
      </c>
      <c r="D75" s="139" t="s">
        <v>40</v>
      </c>
      <c r="E75" s="139"/>
      <c r="F75" s="139"/>
      <c r="G75" s="139"/>
      <c r="H75" s="139"/>
      <c r="I75" s="140">
        <f ca="1">SUM(I73:I74)</f>
        <v>960201.75124756829</v>
      </c>
      <c r="J75" s="141">
        <f ca="1">SUM(J73:J74)</f>
        <v>4837304.3824349996</v>
      </c>
      <c r="K75" s="24"/>
      <c r="L75" s="40"/>
    </row>
    <row r="76" spans="1:12" ht="17" thickTop="1" thickBot="1" x14ac:dyDescent="0.25">
      <c r="A76" s="45"/>
      <c r="B76" s="33"/>
      <c r="C76" s="211" t="s">
        <v>7</v>
      </c>
      <c r="D76" s="212" t="s">
        <v>93</v>
      </c>
      <c r="E76" s="212"/>
      <c r="F76" s="212"/>
      <c r="G76" s="212"/>
      <c r="H76" s="213"/>
      <c r="I76" s="214">
        <v>5000</v>
      </c>
      <c r="J76" s="215">
        <f>I76*$J$15</f>
        <v>25189</v>
      </c>
      <c r="K76" s="34"/>
      <c r="L76" s="45"/>
    </row>
    <row r="77" spans="1:12" ht="16" thickTop="1" x14ac:dyDescent="0.2">
      <c r="A77" s="40"/>
      <c r="B77" s="32"/>
      <c r="C77" s="189" t="s">
        <v>8</v>
      </c>
      <c r="D77" s="39" t="s">
        <v>26</v>
      </c>
      <c r="E77" s="39"/>
      <c r="F77" s="39"/>
      <c r="G77" s="39"/>
      <c r="H77" s="39"/>
      <c r="I77" s="62">
        <f ca="1">SUM(I75:I76)</f>
        <v>965201.75124756829</v>
      </c>
      <c r="J77" s="66">
        <f ca="1">SUM(J75:J76)</f>
        <v>4862493.3824349996</v>
      </c>
      <c r="K77" s="25"/>
      <c r="L77" s="40"/>
    </row>
    <row r="78" spans="1:12" ht="6" customHeight="1" x14ac:dyDescent="0.2">
      <c r="A78" s="40"/>
      <c r="B78" s="28"/>
      <c r="C78" s="27"/>
      <c r="D78" s="27"/>
      <c r="E78" s="27"/>
      <c r="F78" s="27"/>
      <c r="G78" s="27"/>
      <c r="H78" s="27"/>
      <c r="I78" s="27"/>
      <c r="J78" s="27"/>
      <c r="K78" s="16"/>
      <c r="L78" s="40"/>
    </row>
    <row r="79" spans="1:12" ht="9" customHeight="1" x14ac:dyDescent="0.2">
      <c r="A79" s="40"/>
      <c r="B79" s="38"/>
      <c r="C79" s="38"/>
      <c r="D79" s="38"/>
      <c r="E79" s="38"/>
      <c r="F79" s="38"/>
      <c r="G79" s="38"/>
      <c r="H79" s="38"/>
      <c r="I79" s="38"/>
      <c r="J79" s="38"/>
      <c r="K79" s="40"/>
      <c r="L79" s="40"/>
    </row>
    <row r="80" spans="1:12" x14ac:dyDescent="0.2">
      <c r="A80" s="40"/>
      <c r="B80" s="9"/>
      <c r="C80" s="220" t="s">
        <v>27</v>
      </c>
      <c r="D80" s="221"/>
      <c r="E80" s="4" t="s">
        <v>61</v>
      </c>
      <c r="F80" s="5"/>
      <c r="G80" s="5"/>
      <c r="H80" s="5"/>
      <c r="I80" s="222" t="s">
        <v>2</v>
      </c>
      <c r="J80" s="223"/>
      <c r="K80" s="17"/>
      <c r="L80" s="40"/>
    </row>
    <row r="81" spans="1:12" ht="9" customHeight="1" x14ac:dyDescent="0.2">
      <c r="A81" s="40"/>
      <c r="B81" s="38"/>
      <c r="C81" s="38"/>
      <c r="D81" s="38"/>
      <c r="E81" s="38"/>
      <c r="F81" s="38"/>
      <c r="G81" s="38"/>
      <c r="H81" s="38"/>
      <c r="I81" s="38"/>
      <c r="J81" s="38"/>
      <c r="K81" s="40"/>
      <c r="L81" s="40"/>
    </row>
    <row r="82" spans="1:12" ht="6" customHeight="1" x14ac:dyDescent="0.2">
      <c r="A82" s="40"/>
      <c r="B82" s="31"/>
      <c r="C82" s="35"/>
      <c r="D82" s="35"/>
      <c r="E82" s="35"/>
      <c r="F82" s="35"/>
      <c r="G82" s="35"/>
      <c r="H82" s="35"/>
      <c r="I82" s="36"/>
      <c r="J82" s="37"/>
      <c r="K82" s="22"/>
      <c r="L82" s="40"/>
    </row>
    <row r="83" spans="1:12" x14ac:dyDescent="0.2">
      <c r="A83" s="40"/>
      <c r="B83" s="23"/>
      <c r="C83" s="70" t="s">
        <v>39</v>
      </c>
      <c r="D83" s="39"/>
      <c r="E83" s="39"/>
      <c r="F83" s="39"/>
      <c r="G83" s="39"/>
      <c r="H83" s="71"/>
      <c r="I83" s="72">
        <f ca="1">I77</f>
        <v>965201.75124756829</v>
      </c>
      <c r="J83" s="73">
        <f ca="1">J77</f>
        <v>4862493.3824349996</v>
      </c>
      <c r="K83" s="24"/>
      <c r="L83" s="204"/>
    </row>
    <row r="84" spans="1:12" x14ac:dyDescent="0.2">
      <c r="A84" s="204"/>
      <c r="B84" s="23"/>
      <c r="C84" s="74" t="s">
        <v>7</v>
      </c>
      <c r="D84" s="75" t="s">
        <v>82</v>
      </c>
      <c r="E84" s="75"/>
      <c r="F84" s="76">
        <f ca="1">I83/(1-H84-H85)</f>
        <v>974213.22356554971</v>
      </c>
      <c r="G84" s="75"/>
      <c r="H84" s="207">
        <f>(1.65%)*10%</f>
        <v>1.6500000000000002E-3</v>
      </c>
      <c r="I84" s="76">
        <f ca="1">F84*H84</f>
        <v>1607.4518188831573</v>
      </c>
      <c r="J84" s="77">
        <f ca="1">I84*J15</f>
        <v>8098.02077316957</v>
      </c>
      <c r="K84" s="24"/>
      <c r="L84" s="204"/>
    </row>
    <row r="85" spans="1:12" x14ac:dyDescent="0.2">
      <c r="A85" s="204"/>
      <c r="B85" s="23"/>
      <c r="C85" s="74" t="s">
        <v>7</v>
      </c>
      <c r="D85" s="75" t="s">
        <v>83</v>
      </c>
      <c r="E85" s="75"/>
      <c r="F85" s="76">
        <f ca="1">(I83/(1-H84-H85))</f>
        <v>974213.22356554971</v>
      </c>
      <c r="G85" s="75"/>
      <c r="H85" s="197">
        <f>(7.6%)*10%</f>
        <v>7.6E-3</v>
      </c>
      <c r="I85" s="76">
        <f ca="1">F85*H85</f>
        <v>7404.0204990981774</v>
      </c>
      <c r="J85" s="77">
        <f ca="1">I85*J15</f>
        <v>37299.974470356799</v>
      </c>
      <c r="K85" s="24"/>
      <c r="L85" s="206"/>
    </row>
    <row r="86" spans="1:12" x14ac:dyDescent="0.2">
      <c r="A86" s="205"/>
      <c r="B86" s="23"/>
      <c r="C86" s="74" t="s">
        <v>7</v>
      </c>
      <c r="D86" s="75" t="s">
        <v>41</v>
      </c>
      <c r="E86" s="75"/>
      <c r="F86" s="153">
        <f ca="1">(I83/(1-H86*(1+H88)-(H84+H85)*(1-H86)))*(1+H88)</f>
        <v>1083730.3009727367</v>
      </c>
      <c r="G86" s="80"/>
      <c r="H86" s="115">
        <v>0.04</v>
      </c>
      <c r="I86" s="76">
        <f ca="1">F86*H86</f>
        <v>43349.212038909471</v>
      </c>
      <c r="J86" s="77">
        <f ca="1">H86*J89</f>
        <v>218377.03980383839</v>
      </c>
      <c r="K86" s="24"/>
      <c r="L86" s="205"/>
    </row>
    <row r="87" spans="1:12" x14ac:dyDescent="0.2">
      <c r="A87" s="205"/>
      <c r="B87" s="23"/>
      <c r="C87" s="81" t="s">
        <v>8</v>
      </c>
      <c r="D87" s="99" t="s">
        <v>47</v>
      </c>
      <c r="E87" s="99"/>
      <c r="F87" s="99"/>
      <c r="G87" s="99"/>
      <c r="H87" s="116">
        <f ca="1">I83/I87</f>
        <v>0.94854302544512936</v>
      </c>
      <c r="I87" s="100">
        <f ca="1">I83+I84+I85+I86</f>
        <v>1017562.4356044591</v>
      </c>
      <c r="J87" s="101">
        <f ca="1">I87*J15</f>
        <v>5126276.0380881438</v>
      </c>
      <c r="K87" s="24"/>
      <c r="L87" s="205"/>
    </row>
    <row r="88" spans="1:12" ht="16" thickBot="1" x14ac:dyDescent="0.25">
      <c r="A88" s="205"/>
      <c r="B88" s="23"/>
      <c r="C88" s="96" t="s">
        <v>7</v>
      </c>
      <c r="D88" s="93" t="s">
        <v>28</v>
      </c>
      <c r="E88" s="93"/>
      <c r="F88" s="93"/>
      <c r="G88" s="93"/>
      <c r="H88" s="198">
        <v>6.5000000000000002E-2</v>
      </c>
      <c r="I88" s="94">
        <f ca="1">H88*I87</f>
        <v>66141.558314289839</v>
      </c>
      <c r="J88" s="95">
        <f ca="1">I88*J15</f>
        <v>333207.94247572933</v>
      </c>
      <c r="K88" s="24"/>
      <c r="L88" s="219"/>
    </row>
    <row r="89" spans="1:12" ht="16" thickTop="1" x14ac:dyDescent="0.2">
      <c r="A89" s="205"/>
      <c r="B89" s="32"/>
      <c r="C89" s="189" t="s">
        <v>8</v>
      </c>
      <c r="D89" s="39" t="s">
        <v>48</v>
      </c>
      <c r="E89" s="39"/>
      <c r="F89" s="72"/>
      <c r="G89" s="39"/>
      <c r="H89" s="41"/>
      <c r="I89" s="72">
        <f ca="1">I87+I88</f>
        <v>1083703.993918749</v>
      </c>
      <c r="J89" s="73">
        <f ca="1">J83+J84+J86+J88+J85</f>
        <v>5459476.3599580936</v>
      </c>
      <c r="K89" s="24"/>
      <c r="L89" s="205"/>
    </row>
    <row r="90" spans="1:12" ht="6.75" customHeight="1" x14ac:dyDescent="0.2">
      <c r="A90" s="40"/>
      <c r="B90" s="32"/>
      <c r="C90" s="81"/>
      <c r="D90" s="81"/>
      <c r="E90" s="131"/>
      <c r="F90" s="131"/>
      <c r="G90" s="131"/>
      <c r="H90" s="131"/>
      <c r="I90" s="153"/>
      <c r="J90" s="152"/>
      <c r="K90" s="24"/>
      <c r="L90" s="40"/>
    </row>
    <row r="91" spans="1:12" x14ac:dyDescent="0.2">
      <c r="A91" s="40"/>
      <c r="B91" s="32"/>
      <c r="C91" s="224" t="s">
        <v>62</v>
      </c>
      <c r="D91" s="224"/>
      <c r="E91" s="224"/>
      <c r="F91" s="224"/>
      <c r="G91" s="224"/>
      <c r="H91" s="224"/>
      <c r="I91" s="225">
        <f ca="1">I89/F11</f>
        <v>1.260267465889928</v>
      </c>
      <c r="J91" s="225"/>
      <c r="K91" s="24"/>
      <c r="L91" s="40"/>
    </row>
    <row r="92" spans="1:12" ht="6" customHeight="1" x14ac:dyDescent="0.2">
      <c r="A92" s="40"/>
      <c r="B92" s="28"/>
      <c r="C92" s="27"/>
      <c r="D92" s="27"/>
      <c r="E92" s="27"/>
      <c r="F92" s="27"/>
      <c r="G92" s="27"/>
      <c r="H92" s="27"/>
      <c r="I92" s="27"/>
      <c r="J92" s="27"/>
      <c r="K92" s="16"/>
      <c r="L92" s="40"/>
    </row>
    <row r="93" spans="1:12" x14ac:dyDescent="0.2">
      <c r="A93" s="40"/>
      <c r="B93" s="38"/>
      <c r="C93" s="38"/>
      <c r="D93" s="38"/>
      <c r="E93" s="38"/>
      <c r="F93" s="38"/>
      <c r="G93" s="38"/>
      <c r="H93" s="38"/>
      <c r="I93" s="78"/>
      <c r="J93" s="38"/>
      <c r="K93" s="40"/>
      <c r="L93" s="40"/>
    </row>
    <row r="94" spans="1:12" hidden="1" x14ac:dyDescent="0.2">
      <c r="I94" s="201"/>
    </row>
    <row r="95" spans="1:12" hidden="1" x14ac:dyDescent="0.2">
      <c r="I95" s="201"/>
    </row>
    <row r="96" spans="1:12" hidden="1" x14ac:dyDescent="0.2">
      <c r="I96" s="201"/>
    </row>
    <row r="97" spans="9:9" hidden="1" x14ac:dyDescent="0.2">
      <c r="I97" s="201"/>
    </row>
  </sheetData>
  <mergeCells count="29">
    <mergeCell ref="B5:K5"/>
    <mergeCell ref="C7:D7"/>
    <mergeCell ref="E10:F10"/>
    <mergeCell ref="H10:I10"/>
    <mergeCell ref="F2:J3"/>
    <mergeCell ref="C37:D37"/>
    <mergeCell ref="I37:J37"/>
    <mergeCell ref="H11:I11"/>
    <mergeCell ref="H12:I12"/>
    <mergeCell ref="H13:I13"/>
    <mergeCell ref="H14:I14"/>
    <mergeCell ref="H15:I15"/>
    <mergeCell ref="I16:J16"/>
    <mergeCell ref="C18:D18"/>
    <mergeCell ref="I18:J18"/>
    <mergeCell ref="F23:H23"/>
    <mergeCell ref="C27:D27"/>
    <mergeCell ref="I27:J27"/>
    <mergeCell ref="C80:D80"/>
    <mergeCell ref="I80:J80"/>
    <mergeCell ref="C91:H91"/>
    <mergeCell ref="I91:J91"/>
    <mergeCell ref="C57:D57"/>
    <mergeCell ref="I57:J57"/>
    <mergeCell ref="G60:H60"/>
    <mergeCell ref="C70:D70"/>
    <mergeCell ref="I70:J70"/>
    <mergeCell ref="D62:E62"/>
    <mergeCell ref="D63:E63"/>
  </mergeCells>
  <conditionalFormatting sqref="J49">
    <cfRule type="containsBlanks" dxfId="1" priority="1">
      <formula>LEN(TRIM(J49))=0</formula>
    </cfRule>
  </conditionalFormatting>
  <pageMargins left="0.70866141732283472" right="0.31496062992125984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6E87-B851-491F-8F38-214612A11F56}">
  <dimension ref="A1:M99"/>
  <sheetViews>
    <sheetView showGridLines="0" topLeftCell="B18" zoomScale="140" zoomScaleNormal="140" zoomScaleSheetLayoutView="130" workbookViewId="0">
      <selection activeCell="E44" sqref="E44"/>
    </sheetView>
  </sheetViews>
  <sheetFormatPr baseColWidth="10" defaultColWidth="0" defaultRowHeight="15" x14ac:dyDescent="0.2"/>
  <cols>
    <col min="1" max="1" width="5.6640625" customWidth="1"/>
    <col min="2" max="2" width="0.83203125" customWidth="1"/>
    <col min="3" max="3" width="3.6640625" customWidth="1"/>
    <col min="4" max="4" width="8.5" customWidth="1"/>
    <col min="5" max="5" width="31.1640625" customWidth="1"/>
    <col min="6" max="6" width="16" customWidth="1"/>
    <col min="7" max="7" width="2" customWidth="1"/>
    <col min="8" max="8" width="11.6640625" customWidth="1"/>
    <col min="9" max="9" width="19" customWidth="1"/>
    <col min="10" max="10" width="18.83203125" customWidth="1"/>
    <col min="11" max="11" width="0.83203125" customWidth="1"/>
    <col min="12" max="12" width="7.6640625" customWidth="1"/>
    <col min="13" max="13" width="3.5" hidden="1" customWidth="1"/>
    <col min="14" max="16384" width="9.1640625" hidden="1"/>
  </cols>
  <sheetData>
    <row r="1" spans="1:12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.75" customHeight="1" x14ac:dyDescent="0.2">
      <c r="A2" s="41"/>
      <c r="B2" s="120"/>
      <c r="C2" s="121"/>
      <c r="D2" s="121"/>
      <c r="E2" s="121"/>
      <c r="F2" s="236"/>
      <c r="G2" s="236"/>
      <c r="H2" s="236"/>
      <c r="I2" s="236"/>
      <c r="J2" s="236"/>
      <c r="K2" s="122"/>
      <c r="L2" s="41"/>
    </row>
    <row r="3" spans="1:12" ht="21.75" customHeight="1" x14ac:dyDescent="0.2">
      <c r="A3" s="41"/>
      <c r="B3" s="123"/>
      <c r="C3" s="124"/>
      <c r="D3" s="124"/>
      <c r="E3" s="124"/>
      <c r="F3" s="237"/>
      <c r="G3" s="237"/>
      <c r="H3" s="237"/>
      <c r="I3" s="237"/>
      <c r="J3" s="237"/>
      <c r="K3" s="125"/>
      <c r="L3" s="41"/>
    </row>
    <row r="4" spans="1:12" ht="9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">
      <c r="A5" s="41"/>
      <c r="B5" s="233" t="s">
        <v>29</v>
      </c>
      <c r="C5" s="234"/>
      <c r="D5" s="234"/>
      <c r="E5" s="234"/>
      <c r="F5" s="234"/>
      <c r="G5" s="234"/>
      <c r="H5" s="234"/>
      <c r="I5" s="234"/>
      <c r="J5" s="234"/>
      <c r="K5" s="234"/>
      <c r="L5" s="41"/>
    </row>
    <row r="6" spans="1:12" ht="9" customHeight="1" x14ac:dyDescent="0.2">
      <c r="A6" s="41"/>
      <c r="B6" s="41"/>
      <c r="C6" s="41"/>
      <c r="D6" s="41"/>
      <c r="E6" s="41"/>
      <c r="F6" s="41"/>
      <c r="G6" s="41"/>
      <c r="H6" s="46"/>
      <c r="I6" s="46"/>
      <c r="J6" s="47"/>
      <c r="K6" s="40"/>
      <c r="L6" s="40"/>
    </row>
    <row r="7" spans="1:12" x14ac:dyDescent="0.2">
      <c r="A7" s="42"/>
      <c r="B7" s="3"/>
      <c r="C7" s="220" t="s">
        <v>0</v>
      </c>
      <c r="D7" s="221"/>
      <c r="E7" s="4" t="s">
        <v>1</v>
      </c>
      <c r="F7" s="5"/>
      <c r="G7" s="5"/>
      <c r="H7" s="6"/>
      <c r="I7" s="6"/>
      <c r="J7" s="5"/>
      <c r="K7" s="7"/>
      <c r="L7" s="42"/>
    </row>
    <row r="8" spans="1:12" ht="9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2"/>
      <c r="L8" s="42"/>
    </row>
    <row r="9" spans="1:12" ht="6" customHeight="1" x14ac:dyDescent="0.2">
      <c r="A9" s="43"/>
      <c r="B9" s="11"/>
      <c r="C9" s="12"/>
      <c r="D9" s="12"/>
      <c r="E9" s="12"/>
      <c r="F9" s="12"/>
      <c r="G9" s="12"/>
      <c r="H9" s="12"/>
      <c r="I9" s="13"/>
      <c r="J9" s="49"/>
      <c r="K9" s="8"/>
      <c r="L9" s="40"/>
    </row>
    <row r="10" spans="1:12" x14ac:dyDescent="0.2">
      <c r="A10" s="41"/>
      <c r="B10" s="1"/>
      <c r="C10" s="58" t="s">
        <v>30</v>
      </c>
      <c r="D10" s="59"/>
      <c r="E10" s="235"/>
      <c r="F10" s="235"/>
      <c r="G10" s="110"/>
      <c r="H10" s="230" t="s">
        <v>34</v>
      </c>
      <c r="I10" s="230"/>
      <c r="J10" s="109"/>
      <c r="K10" s="14"/>
      <c r="L10" s="40"/>
    </row>
    <row r="11" spans="1:12" x14ac:dyDescent="0.2">
      <c r="A11" s="41"/>
      <c r="B11" s="51"/>
      <c r="C11" s="190" t="s">
        <v>43</v>
      </c>
      <c r="D11" s="56"/>
      <c r="E11" s="57"/>
      <c r="F11" s="76">
        <v>10000000</v>
      </c>
      <c r="G11" s="76"/>
      <c r="H11" s="229" t="s">
        <v>35</v>
      </c>
      <c r="I11" s="229"/>
      <c r="J11" s="156" t="s">
        <v>70</v>
      </c>
      <c r="K11" s="24"/>
      <c r="L11" s="41"/>
    </row>
    <row r="12" spans="1:12" x14ac:dyDescent="0.2">
      <c r="A12" s="41"/>
      <c r="B12" s="51"/>
      <c r="C12" s="191" t="s">
        <v>49</v>
      </c>
      <c r="D12" s="102"/>
      <c r="E12" s="48"/>
      <c r="F12" s="186">
        <v>36000</v>
      </c>
      <c r="G12" s="103"/>
      <c r="H12" s="230" t="s">
        <v>32</v>
      </c>
      <c r="I12" s="230"/>
      <c r="J12" s="109" t="s">
        <v>33</v>
      </c>
      <c r="K12" s="14"/>
      <c r="L12" s="40"/>
    </row>
    <row r="13" spans="1:12" x14ac:dyDescent="0.2">
      <c r="A13" s="41"/>
      <c r="B13" s="51"/>
      <c r="C13" s="190" t="s">
        <v>31</v>
      </c>
      <c r="F13" s="111" t="s">
        <v>65</v>
      </c>
      <c r="G13" s="111"/>
      <c r="H13" s="229" t="s">
        <v>3</v>
      </c>
      <c r="I13" s="229"/>
      <c r="J13" s="126">
        <v>0.14899999999999999</v>
      </c>
      <c r="K13" s="24"/>
      <c r="L13" s="40"/>
    </row>
    <row r="14" spans="1:12" x14ac:dyDescent="0.2">
      <c r="A14" s="41"/>
      <c r="B14" s="51"/>
      <c r="C14" s="191" t="s">
        <v>42</v>
      </c>
      <c r="D14" s="102"/>
      <c r="E14" s="48"/>
      <c r="F14" s="187"/>
      <c r="G14" s="108"/>
      <c r="H14" s="230" t="s">
        <v>4</v>
      </c>
      <c r="I14" s="230"/>
      <c r="J14" s="114">
        <v>3.0000000000000001E-3</v>
      </c>
      <c r="K14" s="24"/>
      <c r="L14" s="40"/>
    </row>
    <row r="15" spans="1:12" x14ac:dyDescent="0.2">
      <c r="A15" s="41"/>
      <c r="B15" s="51"/>
      <c r="C15" s="190" t="s">
        <v>50</v>
      </c>
      <c r="D15" s="56"/>
      <c r="F15" s="155">
        <v>46056</v>
      </c>
      <c r="G15" s="113"/>
      <c r="H15" s="229" t="s">
        <v>51</v>
      </c>
      <c r="I15" s="229"/>
      <c r="J15" s="112">
        <v>5.25</v>
      </c>
      <c r="K15" s="24"/>
      <c r="L15" s="40"/>
    </row>
    <row r="16" spans="1:12" ht="6" customHeight="1" x14ac:dyDescent="0.2">
      <c r="A16" s="41"/>
      <c r="B16" s="52"/>
      <c r="C16" s="53"/>
      <c r="D16" s="54"/>
      <c r="E16" s="55"/>
      <c r="F16" s="55"/>
      <c r="G16" s="55"/>
      <c r="H16" s="192"/>
      <c r="I16" s="231"/>
      <c r="J16" s="231"/>
      <c r="K16" s="16"/>
      <c r="L16" s="40"/>
    </row>
    <row r="17" spans="1:12" ht="9" customHeight="1" x14ac:dyDescent="0.2">
      <c r="A17" s="41"/>
      <c r="B17" s="41"/>
      <c r="C17" s="50"/>
      <c r="D17" s="50"/>
      <c r="E17" s="50"/>
      <c r="F17" s="50"/>
      <c r="G17" s="50"/>
      <c r="H17" s="50"/>
      <c r="I17" s="50"/>
      <c r="J17" s="50"/>
      <c r="K17" s="40"/>
      <c r="L17" s="40"/>
    </row>
    <row r="18" spans="1:12" x14ac:dyDescent="0.2">
      <c r="A18" s="41"/>
      <c r="B18" s="9"/>
      <c r="C18" s="220" t="s">
        <v>5</v>
      </c>
      <c r="D18" s="221"/>
      <c r="E18" s="4" t="s">
        <v>6</v>
      </c>
      <c r="F18" s="5"/>
      <c r="G18" s="5"/>
      <c r="H18" s="5"/>
      <c r="I18" s="222"/>
      <c r="J18" s="223"/>
      <c r="K18" s="10"/>
      <c r="L18" s="40"/>
    </row>
    <row r="19" spans="1:12" ht="9" customHeight="1" x14ac:dyDescent="0.2">
      <c r="A19" s="41"/>
      <c r="B19" s="41"/>
      <c r="C19" s="42"/>
      <c r="D19" s="42"/>
      <c r="E19" s="42"/>
      <c r="F19" s="42"/>
      <c r="G19" s="42"/>
      <c r="H19" s="42"/>
      <c r="I19" s="42"/>
      <c r="J19" s="42"/>
      <c r="K19" s="40"/>
      <c r="L19" s="40"/>
    </row>
    <row r="20" spans="1:12" ht="6" customHeight="1" x14ac:dyDescent="0.2">
      <c r="A20" s="43"/>
      <c r="B20" s="11"/>
      <c r="C20" s="12"/>
      <c r="D20" s="12"/>
      <c r="E20" s="12"/>
      <c r="F20" s="12"/>
      <c r="G20" s="12"/>
      <c r="H20" s="12"/>
      <c r="I20" s="13"/>
      <c r="J20" s="49"/>
      <c r="K20" s="8"/>
      <c r="L20" s="40"/>
    </row>
    <row r="21" spans="1:12" x14ac:dyDescent="0.2">
      <c r="A21" s="41"/>
      <c r="B21" s="1"/>
      <c r="C21" s="58" t="s">
        <v>36</v>
      </c>
      <c r="D21" s="59"/>
      <c r="E21" s="59"/>
      <c r="F21" s="60"/>
      <c r="G21" s="60"/>
      <c r="H21" s="61"/>
      <c r="I21" s="62">
        <f>F11</f>
        <v>10000000</v>
      </c>
      <c r="J21" s="63">
        <f>I21*J15</f>
        <v>52500000</v>
      </c>
      <c r="K21" s="14"/>
      <c r="L21" s="40"/>
    </row>
    <row r="22" spans="1:12" x14ac:dyDescent="0.2">
      <c r="A22" s="41"/>
      <c r="B22" s="1"/>
      <c r="C22" s="64" t="s">
        <v>7</v>
      </c>
      <c r="D22" s="65" t="s">
        <v>54</v>
      </c>
      <c r="E22" s="65"/>
      <c r="F22" s="127"/>
      <c r="G22" s="178"/>
      <c r="H22" s="193" t="s">
        <v>74</v>
      </c>
      <c r="I22" s="179">
        <f>F12</f>
        <v>36000</v>
      </c>
      <c r="J22" s="180">
        <f>I22*J15</f>
        <v>189000</v>
      </c>
      <c r="K22" s="14"/>
      <c r="L22" s="40"/>
    </row>
    <row r="23" spans="1:12" ht="16" thickBot="1" x14ac:dyDescent="0.25">
      <c r="A23" s="41"/>
      <c r="B23" s="1"/>
      <c r="C23" s="89" t="s">
        <v>7</v>
      </c>
      <c r="D23" s="90" t="s">
        <v>63</v>
      </c>
      <c r="E23" s="90"/>
      <c r="F23" s="232" t="s">
        <v>52</v>
      </c>
      <c r="G23" s="232"/>
      <c r="H23" s="232"/>
      <c r="I23" s="91">
        <v>300</v>
      </c>
      <c r="J23" s="92">
        <f>I23*J15</f>
        <v>1575</v>
      </c>
      <c r="K23" s="14"/>
      <c r="L23" s="40"/>
    </row>
    <row r="24" spans="1:12" ht="16" thickTop="1" x14ac:dyDescent="0.2">
      <c r="A24" s="41"/>
      <c r="B24" s="1"/>
      <c r="C24" s="83" t="s">
        <v>8</v>
      </c>
      <c r="D24" s="84" t="s">
        <v>9</v>
      </c>
      <c r="E24" s="84"/>
      <c r="F24" s="84"/>
      <c r="G24" s="84"/>
      <c r="H24" s="84"/>
      <c r="I24" s="85">
        <f>SUM(I21:I23)</f>
        <v>10036300</v>
      </c>
      <c r="J24" s="86">
        <f>SUM(J21:J23)</f>
        <v>52690575</v>
      </c>
      <c r="K24" s="14"/>
      <c r="L24" s="40"/>
    </row>
    <row r="25" spans="1:12" ht="6" customHeight="1" x14ac:dyDescent="0.2">
      <c r="A25" s="41"/>
      <c r="B25" s="2"/>
      <c r="C25" s="15"/>
      <c r="D25" s="15"/>
      <c r="E25" s="15"/>
      <c r="F25" s="15"/>
      <c r="G25" s="15"/>
      <c r="H25" s="15"/>
      <c r="I25" s="15"/>
      <c r="J25" s="15"/>
      <c r="K25" s="16"/>
      <c r="L25" s="40"/>
    </row>
    <row r="26" spans="1:12" ht="9" customHeight="1" x14ac:dyDescent="0.2">
      <c r="A26" s="41"/>
      <c r="B26" s="41"/>
      <c r="C26" s="50"/>
      <c r="D26" s="50"/>
      <c r="E26" s="50"/>
      <c r="F26" s="50"/>
      <c r="G26" s="50"/>
      <c r="H26" s="50"/>
      <c r="I26" s="50"/>
      <c r="J26" s="50"/>
      <c r="K26" s="40"/>
      <c r="L26" s="40"/>
    </row>
    <row r="27" spans="1:12" x14ac:dyDescent="0.2">
      <c r="A27" s="41"/>
      <c r="B27" s="9"/>
      <c r="C27" s="220" t="s">
        <v>10</v>
      </c>
      <c r="D27" s="221"/>
      <c r="E27" s="4" t="s">
        <v>11</v>
      </c>
      <c r="F27" s="5"/>
      <c r="G27" s="5"/>
      <c r="H27" s="5"/>
      <c r="I27" s="222"/>
      <c r="J27" s="223"/>
      <c r="K27" s="17"/>
      <c r="L27" s="40"/>
    </row>
    <row r="28" spans="1:12" ht="9" customHeight="1" x14ac:dyDescent="0.2">
      <c r="A28" s="41"/>
      <c r="B28" s="41"/>
      <c r="C28" s="42"/>
      <c r="D28" s="42"/>
      <c r="E28" s="42"/>
      <c r="F28" s="42"/>
      <c r="G28" s="42"/>
      <c r="H28" s="42"/>
      <c r="I28" s="42"/>
      <c r="J28" s="42"/>
      <c r="K28" s="40"/>
      <c r="L28" s="40"/>
    </row>
    <row r="29" spans="1:12" ht="6" customHeight="1" x14ac:dyDescent="0.2">
      <c r="A29" s="38"/>
      <c r="B29" s="18"/>
      <c r="C29" s="19"/>
      <c r="D29" s="19"/>
      <c r="E29" s="19"/>
      <c r="F29" s="19"/>
      <c r="G29" s="19"/>
      <c r="H29" s="67"/>
      <c r="I29" s="20"/>
      <c r="J29" s="21"/>
      <c r="K29" s="22"/>
      <c r="L29" s="40"/>
    </row>
    <row r="30" spans="1:12" x14ac:dyDescent="0.2">
      <c r="A30" s="38"/>
      <c r="B30" s="23"/>
      <c r="C30" s="119" t="s">
        <v>7</v>
      </c>
      <c r="D30" s="38" t="s">
        <v>12</v>
      </c>
      <c r="E30" s="38"/>
      <c r="F30" s="38"/>
      <c r="G30" s="38"/>
      <c r="H30" s="117">
        <v>0</v>
      </c>
      <c r="I30" s="78">
        <f>J30/$J$15</f>
        <v>0</v>
      </c>
      <c r="J30" s="79">
        <f>$H$30*J24</f>
        <v>0</v>
      </c>
      <c r="K30" s="24"/>
      <c r="L30" s="40"/>
    </row>
    <row r="31" spans="1:12" x14ac:dyDescent="0.2">
      <c r="A31" s="38"/>
      <c r="B31" s="23"/>
      <c r="C31" s="64" t="s">
        <v>7</v>
      </c>
      <c r="D31" s="75" t="s">
        <v>13</v>
      </c>
      <c r="E31" s="75"/>
      <c r="F31" s="75"/>
      <c r="G31" s="75"/>
      <c r="H31" s="197">
        <v>6.5000000000000002E-2</v>
      </c>
      <c r="I31" s="76">
        <f>J31/$J$15</f>
        <v>652359.5</v>
      </c>
      <c r="J31" s="77">
        <f>$H$31*(J24+J30)</f>
        <v>3424887.375</v>
      </c>
      <c r="K31" s="24"/>
      <c r="L31" s="40"/>
    </row>
    <row r="32" spans="1:12" x14ac:dyDescent="0.2">
      <c r="A32" s="38"/>
      <c r="B32" s="23"/>
      <c r="C32" s="119" t="s">
        <v>7</v>
      </c>
      <c r="D32" s="38" t="s">
        <v>81</v>
      </c>
      <c r="E32" s="38"/>
      <c r="F32" s="78"/>
      <c r="G32" s="38"/>
      <c r="H32" s="117">
        <v>0</v>
      </c>
      <c r="I32" s="78">
        <f>I24*H32</f>
        <v>0</v>
      </c>
      <c r="J32" s="79">
        <f>I32*J15</f>
        <v>0</v>
      </c>
      <c r="K32" s="24"/>
      <c r="L32" s="40"/>
    </row>
    <row r="33" spans="1:12" ht="16" thickBot="1" x14ac:dyDescent="0.25">
      <c r="A33" s="38"/>
      <c r="B33" s="23"/>
      <c r="C33" s="118" t="s">
        <v>7</v>
      </c>
      <c r="D33" s="104" t="s">
        <v>80</v>
      </c>
      <c r="E33" s="104"/>
      <c r="F33" s="105"/>
      <c r="G33" s="104"/>
      <c r="H33" s="199">
        <v>0</v>
      </c>
      <c r="I33" s="105">
        <f>I24*H33</f>
        <v>0</v>
      </c>
      <c r="J33" s="106">
        <f>I33*J15</f>
        <v>0</v>
      </c>
      <c r="K33" s="24"/>
      <c r="L33" s="40"/>
    </row>
    <row r="34" spans="1:12" ht="16" thickTop="1" x14ac:dyDescent="0.2">
      <c r="A34" s="39"/>
      <c r="B34" s="23"/>
      <c r="C34" s="97" t="s">
        <v>8</v>
      </c>
      <c r="D34" s="39" t="s">
        <v>14</v>
      </c>
      <c r="E34" s="39"/>
      <c r="F34" s="39"/>
      <c r="G34" s="39"/>
      <c r="H34" s="107"/>
      <c r="I34" s="62">
        <f>SUM(I30:I33)</f>
        <v>652359.5</v>
      </c>
      <c r="J34" s="66">
        <f>SUM(J30:J33)</f>
        <v>3424887.375</v>
      </c>
      <c r="K34" s="25"/>
      <c r="L34" s="40"/>
    </row>
    <row r="35" spans="1:12" ht="6" customHeight="1" x14ac:dyDescent="0.2">
      <c r="A35" s="38"/>
      <c r="B35" s="26"/>
      <c r="C35" s="27"/>
      <c r="D35" s="27"/>
      <c r="E35" s="27"/>
      <c r="F35" s="27"/>
      <c r="G35" s="27"/>
      <c r="H35" s="27"/>
      <c r="I35" s="27"/>
      <c r="J35" s="27"/>
      <c r="K35" s="16"/>
      <c r="L35" s="40"/>
    </row>
    <row r="36" spans="1:12" ht="9" customHeight="1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40"/>
      <c r="L36" s="40"/>
    </row>
    <row r="37" spans="1:12" x14ac:dyDescent="0.2">
      <c r="A37" s="41"/>
      <c r="B37" s="9"/>
      <c r="C37" s="220" t="s">
        <v>15</v>
      </c>
      <c r="D37" s="221"/>
      <c r="E37" s="4" t="s">
        <v>44</v>
      </c>
      <c r="F37" s="5"/>
      <c r="G37" s="5"/>
      <c r="H37" s="5"/>
      <c r="I37" s="222"/>
      <c r="J37" s="223"/>
      <c r="K37" s="17"/>
      <c r="L37" s="40"/>
    </row>
    <row r="38" spans="1:12" ht="9" customHeight="1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40"/>
      <c r="L38" s="40"/>
    </row>
    <row r="39" spans="1:12" ht="6" customHeight="1" x14ac:dyDescent="0.2">
      <c r="A39" s="38"/>
      <c r="B39" s="18"/>
      <c r="C39" s="19"/>
      <c r="D39" s="19"/>
      <c r="E39" s="19"/>
      <c r="F39" s="19"/>
      <c r="G39" s="19"/>
      <c r="H39" s="68"/>
      <c r="I39" s="20"/>
      <c r="J39" s="21"/>
      <c r="K39" s="22"/>
      <c r="L39" s="40"/>
    </row>
    <row r="40" spans="1:12" ht="14.25" customHeight="1" x14ac:dyDescent="0.2">
      <c r="A40" s="38"/>
      <c r="B40" s="23"/>
      <c r="C40" s="142"/>
      <c r="D40" s="142" t="s">
        <v>57</v>
      </c>
      <c r="E40" s="142"/>
      <c r="F40" s="142"/>
      <c r="G40" s="142"/>
      <c r="H40" s="181" t="s">
        <v>78</v>
      </c>
      <c r="I40" s="143">
        <v>0</v>
      </c>
      <c r="J40" s="144">
        <f>I40*$J$15</f>
        <v>0</v>
      </c>
      <c r="K40" s="24"/>
      <c r="L40" s="40"/>
    </row>
    <row r="41" spans="1:12" ht="14.25" customHeight="1" x14ac:dyDescent="0.2">
      <c r="A41" s="38"/>
      <c r="B41" s="23"/>
      <c r="C41" s="134"/>
      <c r="D41" s="134" t="s">
        <v>77</v>
      </c>
      <c r="E41" s="134"/>
      <c r="F41" s="134"/>
      <c r="G41" s="134"/>
      <c r="H41" s="129" t="s">
        <v>53</v>
      </c>
      <c r="I41" s="136">
        <f t="shared" ref="I41:I51" si="0">J41/$J$15</f>
        <v>0</v>
      </c>
      <c r="J41" s="137">
        <v>0</v>
      </c>
      <c r="K41" s="24"/>
      <c r="L41" s="40"/>
    </row>
    <row r="42" spans="1:12" ht="14.25" customHeight="1" x14ac:dyDescent="0.2">
      <c r="A42" s="38"/>
      <c r="B42" s="23"/>
      <c r="C42" s="142"/>
      <c r="D42" s="142" t="s">
        <v>37</v>
      </c>
      <c r="E42" s="142"/>
      <c r="F42" s="142"/>
      <c r="G42" s="142"/>
      <c r="H42" s="128" t="s">
        <v>72</v>
      </c>
      <c r="I42" s="143">
        <v>7000</v>
      </c>
      <c r="J42" s="144">
        <f>I42*$J$15</f>
        <v>36750</v>
      </c>
      <c r="K42" s="24"/>
      <c r="L42" s="40"/>
    </row>
    <row r="43" spans="1:12" ht="14.25" customHeight="1" x14ac:dyDescent="0.2">
      <c r="A43" s="38"/>
      <c r="B43" s="23"/>
      <c r="C43" s="134"/>
      <c r="D43" s="134" t="s">
        <v>64</v>
      </c>
      <c r="E43" s="134"/>
      <c r="F43" s="134"/>
      <c r="G43" s="134"/>
      <c r="H43" s="135"/>
      <c r="I43" s="136">
        <f t="shared" si="0"/>
        <v>1221.7923809523809</v>
      </c>
      <c r="J43" s="137">
        <v>6414.41</v>
      </c>
      <c r="K43" s="24"/>
      <c r="L43" s="40"/>
    </row>
    <row r="44" spans="1:12" ht="14.25" customHeight="1" x14ac:dyDescent="0.2">
      <c r="A44" s="38"/>
      <c r="B44" s="23"/>
      <c r="C44" s="142"/>
      <c r="D44" s="142" t="s">
        <v>58</v>
      </c>
      <c r="E44" s="142"/>
      <c r="F44" s="142"/>
      <c r="G44" s="142"/>
      <c r="H44" s="128" t="s">
        <v>52</v>
      </c>
      <c r="I44" s="143">
        <f t="shared" si="0"/>
        <v>200</v>
      </c>
      <c r="J44" s="144">
        <v>1050</v>
      </c>
      <c r="K44" s="24"/>
      <c r="L44" s="40"/>
    </row>
    <row r="45" spans="1:12" s="149" customFormat="1" ht="14.25" customHeight="1" x14ac:dyDescent="0.2">
      <c r="A45" s="145"/>
      <c r="B45" s="147"/>
      <c r="C45" s="146"/>
      <c r="D45" s="194" t="s">
        <v>75</v>
      </c>
      <c r="E45" s="146"/>
      <c r="F45" s="146"/>
      <c r="G45" s="146"/>
      <c r="H45" s="129" t="s">
        <v>52</v>
      </c>
      <c r="I45" s="76">
        <f t="shared" si="0"/>
        <v>154.74285714285716</v>
      </c>
      <c r="J45" s="137">
        <f xml:space="preserve"> 33.85*24</f>
        <v>812.40000000000009</v>
      </c>
      <c r="K45" s="148"/>
      <c r="L45" s="40"/>
    </row>
    <row r="46" spans="1:12" s="149" customFormat="1" ht="14.25" customHeight="1" x14ac:dyDescent="0.2">
      <c r="A46" s="145"/>
      <c r="B46" s="147"/>
      <c r="C46" s="145"/>
      <c r="D46" s="195" t="s">
        <v>76</v>
      </c>
      <c r="E46" s="145"/>
      <c r="F46" s="145"/>
      <c r="G46" s="145"/>
      <c r="H46" s="128" t="s">
        <v>52</v>
      </c>
      <c r="I46" s="78">
        <f t="shared" si="0"/>
        <v>95.754285714285714</v>
      </c>
      <c r="J46" s="144">
        <v>502.71</v>
      </c>
      <c r="K46" s="148"/>
      <c r="L46" s="40"/>
    </row>
    <row r="47" spans="1:12" s="149" customFormat="1" ht="14.25" customHeight="1" x14ac:dyDescent="0.2">
      <c r="A47" s="145"/>
      <c r="B47" s="147"/>
      <c r="C47" s="146"/>
      <c r="D47" s="75" t="s">
        <v>67</v>
      </c>
      <c r="E47" s="146"/>
      <c r="F47" s="146"/>
      <c r="G47" s="146"/>
      <c r="H47" s="129" t="s">
        <v>52</v>
      </c>
      <c r="I47" s="76">
        <f t="shared" si="0"/>
        <v>179.84</v>
      </c>
      <c r="J47" s="137">
        <f>33.72*28</f>
        <v>944.16</v>
      </c>
      <c r="K47" s="148"/>
      <c r="L47" s="40"/>
    </row>
    <row r="48" spans="1:12" s="149" customFormat="1" ht="14.25" customHeight="1" x14ac:dyDescent="0.2">
      <c r="A48" s="145"/>
      <c r="B48" s="147"/>
      <c r="C48" s="145"/>
      <c r="D48" s="38" t="s">
        <v>68</v>
      </c>
      <c r="E48" s="145"/>
      <c r="F48" s="145"/>
      <c r="G48" s="145"/>
      <c r="H48" s="128" t="s">
        <v>52</v>
      </c>
      <c r="I48" s="78">
        <f t="shared" si="0"/>
        <v>95.386666666666656</v>
      </c>
      <c r="J48" s="196">
        <v>500.78</v>
      </c>
      <c r="K48" s="148"/>
      <c r="L48" s="40"/>
    </row>
    <row r="49" spans="1:12" ht="14.25" customHeight="1" x14ac:dyDescent="0.2">
      <c r="A49" s="38"/>
      <c r="B49" s="23"/>
      <c r="C49" s="134"/>
      <c r="D49" s="134" t="s">
        <v>71</v>
      </c>
      <c r="E49" s="134"/>
      <c r="F49" s="134"/>
      <c r="G49" s="134"/>
      <c r="H49" s="129" t="s">
        <v>55</v>
      </c>
      <c r="I49" s="136">
        <f t="shared" si="0"/>
        <v>476.1904761904762</v>
      </c>
      <c r="J49" s="137">
        <v>2500</v>
      </c>
      <c r="K49" s="24"/>
      <c r="L49" s="40"/>
    </row>
    <row r="50" spans="1:12" ht="14.25" customHeight="1" x14ac:dyDescent="0.2">
      <c r="A50" s="38"/>
      <c r="B50" s="23"/>
      <c r="C50" s="142"/>
      <c r="D50" s="142" t="s">
        <v>56</v>
      </c>
      <c r="E50" s="145"/>
      <c r="F50" s="142"/>
      <c r="G50" s="142"/>
      <c r="H50" s="128"/>
      <c r="I50" s="143">
        <f t="shared" si="0"/>
        <v>97.142857142857139</v>
      </c>
      <c r="J50" s="144">
        <v>510</v>
      </c>
      <c r="K50" s="24"/>
      <c r="L50" s="40"/>
    </row>
    <row r="51" spans="1:12" ht="14.25" customHeight="1" x14ac:dyDescent="0.2">
      <c r="A51" s="38"/>
      <c r="B51" s="23"/>
      <c r="C51" s="134"/>
      <c r="D51" s="134" t="s">
        <v>59</v>
      </c>
      <c r="E51" s="134"/>
      <c r="F51" s="134"/>
      <c r="G51" s="134"/>
      <c r="H51" s="162"/>
      <c r="I51" s="136">
        <f t="shared" si="0"/>
        <v>29.377142857142854</v>
      </c>
      <c r="J51" s="137">
        <v>154.22999999999999</v>
      </c>
      <c r="K51" s="24"/>
      <c r="L51" s="40"/>
    </row>
    <row r="52" spans="1:12" ht="14.25" customHeight="1" x14ac:dyDescent="0.2">
      <c r="A52" s="38"/>
      <c r="B52" s="23"/>
      <c r="C52" s="142"/>
      <c r="D52" s="142" t="s">
        <v>60</v>
      </c>
      <c r="E52" s="142"/>
      <c r="F52" s="142"/>
      <c r="G52" s="142"/>
      <c r="H52" s="128" t="s">
        <v>73</v>
      </c>
      <c r="I52" s="143">
        <f>J52/$J$15</f>
        <v>0</v>
      </c>
      <c r="J52" s="144">
        <v>0</v>
      </c>
      <c r="K52" s="24"/>
      <c r="L52" s="40"/>
    </row>
    <row r="53" spans="1:12" ht="14.25" customHeight="1" thickBot="1" x14ac:dyDescent="0.25">
      <c r="A53" s="38"/>
      <c r="B53" s="23"/>
      <c r="C53" s="158"/>
      <c r="D53" s="158" t="s">
        <v>79</v>
      </c>
      <c r="E53" s="158"/>
      <c r="F53" s="158"/>
      <c r="G53" s="158"/>
      <c r="H53" s="159"/>
      <c r="I53" s="160">
        <v>0</v>
      </c>
      <c r="J53" s="161">
        <f>I53*J15</f>
        <v>0</v>
      </c>
      <c r="K53" s="24"/>
      <c r="L53" s="40"/>
    </row>
    <row r="54" spans="1:12" ht="15.75" customHeight="1" thickTop="1" x14ac:dyDescent="0.2">
      <c r="A54" s="38"/>
      <c r="B54" s="23"/>
      <c r="C54" s="130" t="s">
        <v>8</v>
      </c>
      <c r="D54" s="131" t="s">
        <v>16</v>
      </c>
      <c r="E54" s="75"/>
      <c r="F54" s="75"/>
      <c r="G54" s="75"/>
      <c r="H54" s="132"/>
      <c r="I54" s="133">
        <f>SUM(I40:I53)</f>
        <v>9550.2266666666692</v>
      </c>
      <c r="J54" s="157">
        <f>SUM(J40:J53)</f>
        <v>50138.69000000001</v>
      </c>
      <c r="K54" s="24"/>
      <c r="L54" s="40"/>
    </row>
    <row r="55" spans="1:12" ht="6" customHeight="1" x14ac:dyDescent="0.2">
      <c r="A55" s="38"/>
      <c r="B55" s="28"/>
      <c r="C55" s="27"/>
      <c r="D55" s="27"/>
      <c r="E55" s="27"/>
      <c r="F55" s="27"/>
      <c r="G55" s="27"/>
      <c r="H55" s="27"/>
      <c r="I55" s="27"/>
      <c r="J55" s="27"/>
      <c r="K55" s="16"/>
      <c r="L55" s="40"/>
    </row>
    <row r="56" spans="1:12" ht="9" customHeight="1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40"/>
      <c r="L56" s="40"/>
    </row>
    <row r="57" spans="1:12" x14ac:dyDescent="0.2">
      <c r="A57" s="41"/>
      <c r="B57" s="9"/>
      <c r="C57" s="220" t="s">
        <v>17</v>
      </c>
      <c r="D57" s="221"/>
      <c r="E57" s="4" t="s">
        <v>18</v>
      </c>
      <c r="F57" s="5"/>
      <c r="G57" s="5"/>
      <c r="H57" s="5"/>
      <c r="I57" s="222"/>
      <c r="J57" s="223"/>
      <c r="K57" s="17"/>
      <c r="L57" s="40"/>
    </row>
    <row r="58" spans="1:12" ht="9" customHeight="1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40"/>
      <c r="L58" s="40"/>
    </row>
    <row r="59" spans="1:12" ht="4.5" customHeight="1" x14ac:dyDescent="0.2">
      <c r="A59" s="38"/>
      <c r="B59" s="18"/>
      <c r="C59" s="19"/>
      <c r="D59" s="19"/>
      <c r="E59" s="19"/>
      <c r="F59" s="29"/>
      <c r="G59" s="29"/>
      <c r="H59" s="30"/>
      <c r="I59" s="20"/>
      <c r="J59" s="21"/>
      <c r="K59" s="22"/>
      <c r="L59" s="40"/>
    </row>
    <row r="60" spans="1:12" ht="12.75" customHeight="1" x14ac:dyDescent="0.2">
      <c r="A60" s="38"/>
      <c r="B60" s="23"/>
      <c r="C60" s="75"/>
      <c r="D60" s="75"/>
      <c r="E60" s="75"/>
      <c r="F60" s="154" t="s">
        <v>66</v>
      </c>
      <c r="G60" s="226">
        <v>0</v>
      </c>
      <c r="H60" s="226"/>
      <c r="K60" s="24"/>
      <c r="L60" s="40"/>
    </row>
    <row r="61" spans="1:12" ht="3.75" customHeight="1" x14ac:dyDescent="0.2">
      <c r="A61" s="38"/>
      <c r="B61" s="23"/>
      <c r="C61" s="75"/>
      <c r="D61" s="75"/>
      <c r="E61" s="75"/>
      <c r="F61" s="151"/>
      <c r="G61" s="151"/>
      <c r="H61" s="88"/>
      <c r="I61" s="76"/>
      <c r="J61" s="77"/>
      <c r="K61" s="24"/>
      <c r="L61" s="40"/>
    </row>
    <row r="62" spans="1:12" x14ac:dyDescent="0.2">
      <c r="A62" s="38"/>
      <c r="B62" s="23"/>
      <c r="C62" s="38"/>
      <c r="D62" s="239">
        <f>F11</f>
        <v>10000000</v>
      </c>
      <c r="E62" s="239"/>
      <c r="F62" s="82">
        <v>18</v>
      </c>
      <c r="G62" s="167"/>
      <c r="H62" s="69">
        <f t="shared" ref="H62" si="1">($G$60/360)*F62</f>
        <v>0</v>
      </c>
      <c r="I62" s="78">
        <f t="shared" ref="I62" si="2">D62*H62</f>
        <v>0</v>
      </c>
      <c r="J62" s="79">
        <f t="shared" ref="J62:J65" si="3">I62*$J$15</f>
        <v>0</v>
      </c>
      <c r="K62" s="24"/>
      <c r="L62" s="98"/>
    </row>
    <row r="63" spans="1:12" x14ac:dyDescent="0.2">
      <c r="A63" s="38"/>
      <c r="B63" s="23"/>
      <c r="C63" s="75"/>
      <c r="D63" s="75" t="s">
        <v>46</v>
      </c>
      <c r="E63" s="75"/>
      <c r="F63" s="87">
        <v>0</v>
      </c>
      <c r="G63" s="168">
        <f>ROUNDUP((F63/30*22),0)</f>
        <v>0</v>
      </c>
      <c r="H63" s="88">
        <f>(((1+$J$13)^(G63/252))*((1+$J$14)^(F63/30))-1)</f>
        <v>0</v>
      </c>
      <c r="I63" s="76">
        <f>H63*I34</f>
        <v>0</v>
      </c>
      <c r="J63" s="77">
        <f t="shared" si="3"/>
        <v>0</v>
      </c>
      <c r="K63" s="24"/>
      <c r="L63" s="98"/>
    </row>
    <row r="64" spans="1:12" x14ac:dyDescent="0.2">
      <c r="A64" s="38"/>
      <c r="B64" s="23"/>
      <c r="C64" s="38"/>
      <c r="D64" s="38" t="s">
        <v>45</v>
      </c>
      <c r="E64" s="38"/>
      <c r="F64" s="82">
        <v>0</v>
      </c>
      <c r="G64" s="167">
        <f t="shared" ref="G64:G65" si="4">ROUNDUP((F64/30*22),0)</f>
        <v>0</v>
      </c>
      <c r="H64" s="69">
        <f>(((1+$J$13)^(G64/252))*((1+$J$14)^(F64/30))-1)</f>
        <v>0</v>
      </c>
      <c r="I64" s="78">
        <f ca="1">H64*(I88-I34-I21)</f>
        <v>0</v>
      </c>
      <c r="J64" s="79">
        <f t="shared" ca="1" si="3"/>
        <v>0</v>
      </c>
      <c r="K64" s="24"/>
      <c r="L64" s="98"/>
    </row>
    <row r="65" spans="1:12" ht="16" thickBot="1" x14ac:dyDescent="0.25">
      <c r="A65" s="38"/>
      <c r="B65" s="23"/>
      <c r="C65" s="172"/>
      <c r="D65" s="172" t="s">
        <v>38</v>
      </c>
      <c r="E65" s="172"/>
      <c r="F65" s="173">
        <v>0</v>
      </c>
      <c r="G65" s="174">
        <f t="shared" si="4"/>
        <v>0</v>
      </c>
      <c r="H65" s="175">
        <f>(((1+$J$13)^(G65/252))*((1+$J$14)^(F65/30))-1)</f>
        <v>0</v>
      </c>
      <c r="I65" s="176">
        <v>0</v>
      </c>
      <c r="J65" s="177">
        <f t="shared" si="3"/>
        <v>0</v>
      </c>
      <c r="K65" s="24" t="s">
        <v>19</v>
      </c>
      <c r="L65" s="40"/>
    </row>
    <row r="66" spans="1:12" ht="16" thickTop="1" x14ac:dyDescent="0.2">
      <c r="A66" s="38"/>
      <c r="B66" s="23"/>
      <c r="C66" s="97" t="s">
        <v>8</v>
      </c>
      <c r="D66" s="39" t="s">
        <v>20</v>
      </c>
      <c r="E66" s="39"/>
      <c r="F66" s="170"/>
      <c r="G66" s="170"/>
      <c r="H66" s="171"/>
      <c r="I66" s="72">
        <f ca="1">SUM(I62:I65)</f>
        <v>0</v>
      </c>
      <c r="J66" s="73">
        <f ca="1">SUM(J62:J65)</f>
        <v>0</v>
      </c>
      <c r="K66" s="25"/>
      <c r="L66" s="40"/>
    </row>
    <row r="67" spans="1:12" ht="3.75" customHeight="1" x14ac:dyDescent="0.2">
      <c r="A67" s="38"/>
      <c r="B67" s="28"/>
      <c r="C67" s="27"/>
      <c r="D67" s="27"/>
      <c r="E67" s="27"/>
      <c r="F67" s="27"/>
      <c r="G67" s="27"/>
      <c r="H67" s="27"/>
      <c r="I67" s="27"/>
      <c r="J67" s="27"/>
      <c r="K67" s="16"/>
      <c r="L67" s="40"/>
    </row>
    <row r="68" spans="1:12" ht="9" customHeight="1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40"/>
      <c r="L68" s="40"/>
    </row>
    <row r="69" spans="1:12" x14ac:dyDescent="0.2">
      <c r="A69" s="41"/>
      <c r="B69" s="9"/>
      <c r="C69" s="220" t="s">
        <v>21</v>
      </c>
      <c r="D69" s="221"/>
      <c r="E69" s="4" t="s">
        <v>22</v>
      </c>
      <c r="F69" s="5"/>
      <c r="G69" s="5"/>
      <c r="H69" s="5"/>
      <c r="I69" s="222"/>
      <c r="J69" s="223"/>
      <c r="K69" s="17"/>
      <c r="L69" s="40"/>
    </row>
    <row r="70" spans="1:12" ht="9" customHeight="1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40"/>
      <c r="L70" s="40"/>
    </row>
    <row r="71" spans="1:12" ht="6" customHeight="1" x14ac:dyDescent="0.2">
      <c r="A71" s="38"/>
      <c r="B71" s="31"/>
      <c r="C71" s="19"/>
      <c r="D71" s="19"/>
      <c r="E71" s="19"/>
      <c r="F71" s="19"/>
      <c r="G71" s="19"/>
      <c r="H71" s="19"/>
      <c r="I71" s="19"/>
      <c r="J71" s="19"/>
      <c r="K71" s="22"/>
      <c r="L71" s="40"/>
    </row>
    <row r="72" spans="1:12" x14ac:dyDescent="0.2">
      <c r="A72" s="39"/>
      <c r="B72" s="23"/>
      <c r="C72" s="39" t="s">
        <v>23</v>
      </c>
      <c r="D72" s="39"/>
      <c r="E72" s="39"/>
      <c r="F72" s="39"/>
      <c r="G72" s="39"/>
      <c r="H72" s="39"/>
      <c r="I72" s="72">
        <f ca="1">I24+I34+I54+I66</f>
        <v>10698209.726666667</v>
      </c>
      <c r="J72" s="73">
        <f ca="1">J24+J34+J54+J66</f>
        <v>56165601.064999998</v>
      </c>
      <c r="K72" s="24"/>
      <c r="L72" s="40"/>
    </row>
    <row r="73" spans="1:12" x14ac:dyDescent="0.2">
      <c r="A73" s="38"/>
      <c r="B73" s="23"/>
      <c r="C73" s="74" t="s">
        <v>24</v>
      </c>
      <c r="D73" s="75" t="s">
        <v>25</v>
      </c>
      <c r="E73" s="75"/>
      <c r="F73" s="75"/>
      <c r="G73" s="75"/>
      <c r="H73" s="75"/>
      <c r="I73" s="76">
        <f>-I31</f>
        <v>-652359.5</v>
      </c>
      <c r="J73" s="77">
        <f>-J31</f>
        <v>-3424887.375</v>
      </c>
      <c r="K73" s="24"/>
      <c r="L73" s="40"/>
    </row>
    <row r="74" spans="1:12" ht="16" thickBot="1" x14ac:dyDescent="0.25">
      <c r="A74" s="39"/>
      <c r="B74" s="32"/>
      <c r="C74" s="138" t="s">
        <v>8</v>
      </c>
      <c r="D74" s="139" t="s">
        <v>40</v>
      </c>
      <c r="E74" s="139"/>
      <c r="F74" s="139"/>
      <c r="G74" s="139"/>
      <c r="H74" s="139"/>
      <c r="I74" s="140">
        <f ca="1">SUM(I72:I73)</f>
        <v>10045850.226666667</v>
      </c>
      <c r="J74" s="141">
        <f ca="1">SUM(J72:J73)</f>
        <v>52740713.689999998</v>
      </c>
      <c r="K74" s="24"/>
      <c r="L74" s="40"/>
    </row>
    <row r="75" spans="1:12" ht="17" thickTop="1" thickBot="1" x14ac:dyDescent="0.25">
      <c r="A75" s="44"/>
      <c r="B75" s="33"/>
      <c r="C75" s="163" t="s">
        <v>24</v>
      </c>
      <c r="D75" s="164" t="s">
        <v>69</v>
      </c>
      <c r="E75" s="164"/>
      <c r="F75" s="164"/>
      <c r="G75" s="164"/>
      <c r="H75" s="164"/>
      <c r="I75" s="165">
        <v>0</v>
      </c>
      <c r="J75" s="166">
        <f>I75*$J$15</f>
        <v>0</v>
      </c>
      <c r="K75" s="34"/>
      <c r="L75" s="45"/>
    </row>
    <row r="76" spans="1:12" ht="16" thickTop="1" x14ac:dyDescent="0.2">
      <c r="A76" s="39"/>
      <c r="B76" s="32"/>
      <c r="C76" s="189" t="s">
        <v>8</v>
      </c>
      <c r="D76" s="39" t="s">
        <v>26</v>
      </c>
      <c r="E76" s="39"/>
      <c r="F76" s="39"/>
      <c r="G76" s="39"/>
      <c r="H76" s="39"/>
      <c r="I76" s="62">
        <f ca="1">SUM(I74:I75)</f>
        <v>10045850.226666667</v>
      </c>
      <c r="J76" s="66">
        <f ca="1">SUM(J74:J75)</f>
        <v>52740713.689999998</v>
      </c>
      <c r="K76" s="25"/>
      <c r="L76" s="40"/>
    </row>
    <row r="77" spans="1:12" ht="6" customHeight="1" x14ac:dyDescent="0.2">
      <c r="A77" s="38"/>
      <c r="B77" s="28"/>
      <c r="C77" s="27"/>
      <c r="D77" s="27"/>
      <c r="E77" s="27"/>
      <c r="F77" s="27"/>
      <c r="G77" s="27"/>
      <c r="H77" s="27"/>
      <c r="I77" s="27"/>
      <c r="J77" s="27"/>
      <c r="K77" s="16"/>
      <c r="L77" s="40"/>
    </row>
    <row r="78" spans="1:12" ht="9" customHeight="1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40"/>
      <c r="L78" s="40"/>
    </row>
    <row r="79" spans="1:12" x14ac:dyDescent="0.2">
      <c r="A79" s="41"/>
      <c r="B79" s="9"/>
      <c r="C79" s="220" t="s">
        <v>27</v>
      </c>
      <c r="D79" s="221"/>
      <c r="E79" s="4" t="s">
        <v>61</v>
      </c>
      <c r="F79" s="5"/>
      <c r="G79" s="5"/>
      <c r="H79" s="5"/>
      <c r="I79" s="222" t="s">
        <v>2</v>
      </c>
      <c r="J79" s="223"/>
      <c r="K79" s="17"/>
      <c r="L79" s="40"/>
    </row>
    <row r="80" spans="1:12" ht="9" customHeight="1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40"/>
      <c r="L80" s="40"/>
    </row>
    <row r="81" spans="1:12" ht="6" customHeight="1" x14ac:dyDescent="0.2">
      <c r="A81" s="39"/>
      <c r="B81" s="31"/>
      <c r="C81" s="35"/>
      <c r="D81" s="35"/>
      <c r="E81" s="35"/>
      <c r="F81" s="35"/>
      <c r="G81" s="35"/>
      <c r="H81" s="35"/>
      <c r="I81" s="36"/>
      <c r="J81" s="37"/>
      <c r="K81" s="22"/>
      <c r="L81" s="40"/>
    </row>
    <row r="82" spans="1:12" x14ac:dyDescent="0.2">
      <c r="A82" s="38"/>
      <c r="B82" s="23"/>
      <c r="C82" s="70" t="s">
        <v>39</v>
      </c>
      <c r="D82" s="39"/>
      <c r="E82" s="39"/>
      <c r="F82" s="39"/>
      <c r="G82" s="39"/>
      <c r="H82" s="71"/>
      <c r="I82" s="72">
        <f ca="1">I76</f>
        <v>10045850.226666667</v>
      </c>
      <c r="J82" s="73">
        <f ca="1">J76</f>
        <v>52740713.689999998</v>
      </c>
      <c r="K82" s="24"/>
      <c r="L82" s="40"/>
    </row>
    <row r="83" spans="1:12" x14ac:dyDescent="0.2">
      <c r="A83" s="38"/>
      <c r="B83" s="23"/>
      <c r="C83" s="74" t="s">
        <v>7</v>
      </c>
      <c r="D83" s="75" t="s">
        <v>82</v>
      </c>
      <c r="E83" s="75"/>
      <c r="F83" s="76">
        <f ca="1">I82/(1-H83-H84)</f>
        <v>10045850.226666667</v>
      </c>
      <c r="G83" s="75"/>
      <c r="H83" s="200">
        <v>0</v>
      </c>
      <c r="I83" s="76">
        <f ca="1">F83*H83</f>
        <v>0</v>
      </c>
      <c r="J83" s="77">
        <f ca="1">I83*J15</f>
        <v>0</v>
      </c>
      <c r="K83" s="24"/>
      <c r="L83" s="40"/>
    </row>
    <row r="84" spans="1:12" x14ac:dyDescent="0.2">
      <c r="A84" s="38"/>
      <c r="B84" s="23"/>
      <c r="C84" s="74" t="s">
        <v>7</v>
      </c>
      <c r="D84" s="75" t="s">
        <v>83</v>
      </c>
      <c r="E84" s="75"/>
      <c r="F84" s="76">
        <f ca="1">(I82/(1-H83-H84))</f>
        <v>10045850.226666667</v>
      </c>
      <c r="G84" s="75"/>
      <c r="H84" s="115">
        <v>0</v>
      </c>
      <c r="I84" s="76">
        <f ca="1">F84*H84</f>
        <v>0</v>
      </c>
      <c r="J84" s="77">
        <f ca="1">I84*J15</f>
        <v>0</v>
      </c>
      <c r="K84" s="24"/>
      <c r="L84" s="40"/>
    </row>
    <row r="85" spans="1:12" x14ac:dyDescent="0.2">
      <c r="A85" s="38"/>
      <c r="B85" s="23"/>
      <c r="C85" s="74" t="s">
        <v>7</v>
      </c>
      <c r="D85" s="75" t="s">
        <v>41</v>
      </c>
      <c r="E85" s="75"/>
      <c r="F85" s="153">
        <f ca="1">(I82/(1-H85*(1+H87)-(H83+H84)*(1-H85)))*(1+H87)</f>
        <v>11174880.396281596</v>
      </c>
      <c r="G85" s="80"/>
      <c r="H85" s="115">
        <v>0.04</v>
      </c>
      <c r="I85" s="76">
        <f ca="1">F85*H85</f>
        <v>446995.21585126384</v>
      </c>
      <c r="J85" s="77">
        <f ca="1">H85*J88</f>
        <v>2346724.883219135</v>
      </c>
      <c r="K85" s="24"/>
      <c r="L85" s="40"/>
    </row>
    <row r="86" spans="1:12" x14ac:dyDescent="0.2">
      <c r="A86" s="38"/>
      <c r="B86" s="23"/>
      <c r="C86" s="81" t="s">
        <v>8</v>
      </c>
      <c r="D86" s="99" t="s">
        <v>47</v>
      </c>
      <c r="E86" s="99"/>
      <c r="F86" s="99"/>
      <c r="G86" s="99"/>
      <c r="H86" s="116">
        <f ca="1">I82/I86</f>
        <v>0.95740000000000003</v>
      </c>
      <c r="I86" s="100">
        <f ca="1">I82+I83+I84+I85</f>
        <v>10492845.442517931</v>
      </c>
      <c r="J86" s="101">
        <f ca="1">I86*J15</f>
        <v>55087438.573219135</v>
      </c>
      <c r="K86" s="24"/>
      <c r="L86" s="40"/>
    </row>
    <row r="87" spans="1:12" ht="16" thickBot="1" x14ac:dyDescent="0.25">
      <c r="A87" s="38"/>
      <c r="B87" s="23"/>
      <c r="C87" s="96" t="s">
        <v>7</v>
      </c>
      <c r="D87" s="93" t="s">
        <v>28</v>
      </c>
      <c r="E87" s="93"/>
      <c r="F87" s="93"/>
      <c r="G87" s="93"/>
      <c r="H87" s="198">
        <v>6.5000000000000002E-2</v>
      </c>
      <c r="I87" s="94">
        <f ca="1">H87*I86</f>
        <v>682034.95376366551</v>
      </c>
      <c r="J87" s="95">
        <f ca="1">I87*J15</f>
        <v>3580683.5072592441</v>
      </c>
      <c r="K87" s="24"/>
      <c r="L87" s="40"/>
    </row>
    <row r="88" spans="1:12" ht="16" thickTop="1" x14ac:dyDescent="0.2">
      <c r="A88" s="39"/>
      <c r="B88" s="32"/>
      <c r="C88" s="189" t="s">
        <v>8</v>
      </c>
      <c r="D88" s="39" t="s">
        <v>48</v>
      </c>
      <c r="E88" s="39"/>
      <c r="F88" s="72">
        <f ca="1">F85-I88</f>
        <v>0</v>
      </c>
      <c r="G88" s="39"/>
      <c r="H88" s="41"/>
      <c r="I88" s="72">
        <f ca="1">I86+I87</f>
        <v>11174880.396281596</v>
      </c>
      <c r="J88" s="73">
        <f ca="1">J82+J83+J85+J87+J84</f>
        <v>58668122.080478378</v>
      </c>
      <c r="K88" s="24"/>
      <c r="L88" s="40"/>
    </row>
    <row r="89" spans="1:12" ht="6.75" customHeight="1" x14ac:dyDescent="0.2">
      <c r="A89" s="39"/>
      <c r="B89" s="32"/>
      <c r="C89" s="81"/>
      <c r="D89" s="81"/>
      <c r="E89" s="131"/>
      <c r="F89" s="131"/>
      <c r="G89" s="131"/>
      <c r="H89" s="131"/>
      <c r="I89" s="153"/>
      <c r="J89" s="152"/>
      <c r="K89" s="24"/>
      <c r="L89" s="40"/>
    </row>
    <row r="90" spans="1:12" x14ac:dyDescent="0.2">
      <c r="A90" s="39"/>
      <c r="B90" s="32"/>
      <c r="C90" s="224" t="s">
        <v>62</v>
      </c>
      <c r="D90" s="224"/>
      <c r="E90" s="224"/>
      <c r="F90" s="224"/>
      <c r="G90" s="224"/>
      <c r="H90" s="224"/>
      <c r="I90" s="238">
        <f ca="1">I88/F11</f>
        <v>1.1174880396281597</v>
      </c>
      <c r="J90" s="238"/>
      <c r="K90" s="24"/>
      <c r="L90" s="40"/>
    </row>
    <row r="91" spans="1:12" ht="6" customHeight="1" x14ac:dyDescent="0.2">
      <c r="A91" s="38"/>
      <c r="B91" s="28"/>
      <c r="C91" s="27"/>
      <c r="D91" s="27"/>
      <c r="E91" s="27"/>
      <c r="F91" s="27"/>
      <c r="G91" s="27"/>
      <c r="H91" s="27"/>
      <c r="I91" s="27"/>
      <c r="J91" s="27"/>
      <c r="K91" s="16"/>
      <c r="L91" s="40"/>
    </row>
    <row r="92" spans="1:12" x14ac:dyDescent="0.2">
      <c r="A92" s="38"/>
      <c r="B92" s="38"/>
      <c r="C92" s="38"/>
      <c r="D92" s="38"/>
      <c r="E92" s="38"/>
      <c r="F92" s="38"/>
      <c r="G92" s="38"/>
      <c r="H92" s="38"/>
      <c r="I92" s="203">
        <f ca="1">COMEXPORT!I91/'COMEXPORT SEM PIS-COFINS'!I90-1</f>
        <v>0.1277681918719038</v>
      </c>
      <c r="J92" s="38"/>
      <c r="K92" s="40"/>
      <c r="L92" s="40"/>
    </row>
    <row r="93" spans="1:12" x14ac:dyDescent="0.2">
      <c r="I93" s="201"/>
      <c r="J93" s="202"/>
    </row>
    <row r="94" spans="1:12" x14ac:dyDescent="0.2">
      <c r="I94" s="182"/>
      <c r="J94" s="169"/>
    </row>
    <row r="95" spans="1:12" x14ac:dyDescent="0.2">
      <c r="I95" s="184"/>
      <c r="J95" s="150"/>
    </row>
    <row r="96" spans="1:12" x14ac:dyDescent="0.2">
      <c r="I96" s="188"/>
      <c r="J96" s="150"/>
    </row>
    <row r="97" spans="9:10" x14ac:dyDescent="0.2">
      <c r="I97" s="185"/>
      <c r="J97" s="150"/>
    </row>
    <row r="98" spans="9:10" x14ac:dyDescent="0.2">
      <c r="I98" s="183"/>
    </row>
    <row r="99" spans="9:10" x14ac:dyDescent="0.2">
      <c r="I99" s="183"/>
    </row>
  </sheetData>
  <mergeCells count="28">
    <mergeCell ref="H11:I11"/>
    <mergeCell ref="F2:J3"/>
    <mergeCell ref="B5:K5"/>
    <mergeCell ref="C7:D7"/>
    <mergeCell ref="E10:F10"/>
    <mergeCell ref="H10:I10"/>
    <mergeCell ref="C57:D57"/>
    <mergeCell ref="I57:J57"/>
    <mergeCell ref="H12:I12"/>
    <mergeCell ref="H13:I13"/>
    <mergeCell ref="H14:I14"/>
    <mergeCell ref="H15:I15"/>
    <mergeCell ref="I16:J16"/>
    <mergeCell ref="C18:D18"/>
    <mergeCell ref="I18:J18"/>
    <mergeCell ref="F23:H23"/>
    <mergeCell ref="C27:D27"/>
    <mergeCell ref="I27:J27"/>
    <mergeCell ref="C37:D37"/>
    <mergeCell ref="I37:J37"/>
    <mergeCell ref="C90:H90"/>
    <mergeCell ref="I90:J90"/>
    <mergeCell ref="G60:H60"/>
    <mergeCell ref="D62:E62"/>
    <mergeCell ref="C69:D69"/>
    <mergeCell ref="I69:J69"/>
    <mergeCell ref="C79:D79"/>
    <mergeCell ref="I79:J79"/>
  </mergeCells>
  <conditionalFormatting sqref="J45:J48">
    <cfRule type="containsBlanks" dxfId="0" priority="1">
      <formula>LEN(TRIM(J45))=0</formula>
    </cfRule>
  </conditionalFormatting>
  <pageMargins left="0.70866141732283472" right="0.31496062992125984" top="0.19685039370078741" bottom="0.19685039370078741" header="0.31496062992125984" footer="0.31496062992125984"/>
  <pageSetup paperSize="9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aeac50-a88f-4090-ae7e-6177ade2b0a6">
      <Terms xmlns="http://schemas.microsoft.com/office/infopath/2007/PartnerControls"/>
    </lcf76f155ced4ddcb4097134ff3c332f>
    <TaxCatchAll xmlns="ab04e435-124b-4d5f-9197-2d2a4ce6209f" xsi:nil="true"/>
    <SharedWithUsers xmlns="ab04e435-124b-4d5f-9197-2d2a4ce6209f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B73FCA2E13347BBE18FEA168A2150" ma:contentTypeVersion="18" ma:contentTypeDescription="Create a new document." ma:contentTypeScope="" ma:versionID="1f91a4b050b3b2f5bd28c8d3f4fce7f7">
  <xsd:schema xmlns:xsd="http://www.w3.org/2001/XMLSchema" xmlns:xs="http://www.w3.org/2001/XMLSchema" xmlns:p="http://schemas.microsoft.com/office/2006/metadata/properties" xmlns:ns2="9aaeac50-a88f-4090-ae7e-6177ade2b0a6" xmlns:ns3="ab04e435-124b-4d5f-9197-2d2a4ce6209f" targetNamespace="http://schemas.microsoft.com/office/2006/metadata/properties" ma:root="true" ma:fieldsID="e7eb5ab213ccb85ded7c0fc01cd16e6a" ns2:_="" ns3:_="">
    <xsd:import namespace="9aaeac50-a88f-4090-ae7e-6177ade2b0a6"/>
    <xsd:import namespace="ab04e435-124b-4d5f-9197-2d2a4ce62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eac50-a88f-4090-ae7e-6177ade2b0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e30b90-2369-4f51-bfa2-6ecbfac165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4e435-124b-4d5f-9197-2d2a4ce62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9470f66-6318-4663-af75-f9b490e9345e}" ma:internalName="TaxCatchAll" ma:showField="CatchAllData" ma:web="ab04e435-124b-4d5f-9197-2d2a4ce62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E62FCB-BE72-49FD-B9BF-ED11FAEA0A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BDCA0-945E-4ACC-ACD0-4996D5AD559E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b04e435-124b-4d5f-9197-2d2a4ce6209f"/>
    <ds:schemaRef ds:uri="http://schemas.microsoft.com/office/2006/documentManagement/types"/>
    <ds:schemaRef ds:uri="9aaeac50-a88f-4090-ae7e-6177ade2b0a6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FF3BB25-0DA7-493B-97E0-0F1FDE9A4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eac50-a88f-4090-ae7e-6177ade2b0a6"/>
    <ds:schemaRef ds:uri="ab04e435-124b-4d5f-9197-2d2a4ce62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COMEXPORT</vt:lpstr>
      <vt:lpstr>COMEXPORT SEM PIS-COFINS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Josias Souza Alves</dc:creator>
  <cp:lastModifiedBy>Microsoft Office User</cp:lastModifiedBy>
  <cp:lastPrinted>2026-02-25T14:21:02Z</cp:lastPrinted>
  <dcterms:created xsi:type="dcterms:W3CDTF">2019-12-26T12:51:41Z</dcterms:created>
  <dcterms:modified xsi:type="dcterms:W3CDTF">2026-05-20T18:47:23Z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0x010100233B73FCA2E13347BBE18FEA168A2150</vt:lpwstr>
  </property>
  <property fmtid="{D5CDD505-2E9C-101B-9397-08002B2CF9AE}" pid="3" name="MediaServiceImageTags">
    <vt:lpwstr/>
  </property>
  <property fmtid="{D5CDD505-2E9C-101B-9397-08002B2CF9AE}" pid="4" name="Order">
    <vt:r8>559500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